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.5 Datu baaze par siltumenergijas pateeriniem\5 Ozolnieki\"/>
    </mc:Choice>
  </mc:AlternateContent>
  <xr:revisionPtr revIDLastSave="0" documentId="10_ncr:8100000_{50CD26EF-8C6F-4B7F-9A9F-7D1C509F603A}" xr6:coauthVersionLast="33" xr6:coauthVersionMax="33" xr10:uidLastSave="{00000000-0000-0000-0000-000000000000}"/>
  <bookViews>
    <workbookView xWindow="0" yWindow="0" windowWidth="19200" windowHeight="6945" xr2:uid="{00000000-000D-0000-FFFF-FFFF00000000}"/>
  </bookViews>
  <sheets>
    <sheet name="2014" sheetId="4" r:id="rId1"/>
    <sheet name="2015" sheetId="1" r:id="rId2"/>
  </sheets>
  <definedNames>
    <definedName name="_xlnm.Print_Titles" localSheetId="0">'2014'!$B:$B</definedName>
    <definedName name="_xlnm.Print_Titles" localSheetId="1">'2015'!$B:$B</definedName>
  </definedNames>
  <calcPr calcId="162913"/>
</workbook>
</file>

<file path=xl/calcChain.xml><?xml version="1.0" encoding="utf-8"?>
<calcChain xmlns="http://schemas.openxmlformats.org/spreadsheetml/2006/main">
  <c r="AP17" i="4" l="1"/>
  <c r="AT17" i="4" s="1"/>
  <c r="AN17" i="4"/>
  <c r="AO17" i="4" s="1"/>
  <c r="AK17" i="4"/>
  <c r="AL17" i="4" s="1"/>
  <c r="AH17" i="4"/>
  <c r="AI17" i="4" s="1"/>
  <c r="AE17" i="4"/>
  <c r="AF17" i="4" s="1"/>
  <c r="AB17" i="4"/>
  <c r="AC17" i="4" s="1"/>
  <c r="Y17" i="4"/>
  <c r="Z17" i="4" s="1"/>
  <c r="V17" i="4"/>
  <c r="W17" i="4" s="1"/>
  <c r="S17" i="4"/>
  <c r="T17" i="4" s="1"/>
  <c r="P17" i="4"/>
  <c r="Q17" i="4" s="1"/>
  <c r="M17" i="4"/>
  <c r="N17" i="4" s="1"/>
  <c r="J17" i="4"/>
  <c r="K17" i="4" s="1"/>
  <c r="G17" i="4"/>
  <c r="C17" i="4"/>
  <c r="AN16" i="4"/>
  <c r="AM16" i="4"/>
  <c r="AO16" i="4" s="1"/>
  <c r="AK16" i="4"/>
  <c r="AJ16" i="4"/>
  <c r="AH16" i="4"/>
  <c r="AI16" i="4" s="1"/>
  <c r="AE16" i="4"/>
  <c r="AF16" i="4" s="1"/>
  <c r="AB16" i="4"/>
  <c r="AC16" i="4" s="1"/>
  <c r="Y16" i="4"/>
  <c r="Z16" i="4" s="1"/>
  <c r="V16" i="4"/>
  <c r="W16" i="4" s="1"/>
  <c r="S16" i="4"/>
  <c r="T16" i="4" s="1"/>
  <c r="P16" i="4"/>
  <c r="Q16" i="4" s="1"/>
  <c r="M16" i="4"/>
  <c r="N16" i="4" s="1"/>
  <c r="J16" i="4"/>
  <c r="K16" i="4" s="1"/>
  <c r="G16" i="4"/>
  <c r="C16" i="4"/>
  <c r="AM33" i="4"/>
  <c r="AM32" i="4"/>
  <c r="AM31" i="4"/>
  <c r="AM30" i="4"/>
  <c r="AJ33" i="4"/>
  <c r="AJ32" i="4"/>
  <c r="AJ31" i="4"/>
  <c r="AJ30" i="4"/>
  <c r="AA31" i="4"/>
  <c r="AM29" i="4"/>
  <c r="AM28" i="4"/>
  <c r="AM27" i="4"/>
  <c r="AM26" i="4"/>
  <c r="AM25" i="4"/>
  <c r="AM24" i="4"/>
  <c r="AP24" i="4" s="1"/>
  <c r="AJ29" i="4"/>
  <c r="AJ28" i="4"/>
  <c r="AJ27" i="4"/>
  <c r="AJ26" i="4"/>
  <c r="AJ25" i="4"/>
  <c r="AJ24" i="4"/>
  <c r="AA28" i="4"/>
  <c r="AA27" i="4"/>
  <c r="AA25" i="4"/>
  <c r="AJ15" i="4"/>
  <c r="AJ14" i="4"/>
  <c r="AP14" i="4" s="1"/>
  <c r="AT14" i="4" s="1"/>
  <c r="AJ13" i="4"/>
  <c r="AL13" i="4" s="1"/>
  <c r="AJ12" i="4"/>
  <c r="AP12" i="4" s="1"/>
  <c r="AJ11" i="4"/>
  <c r="O75" i="4"/>
  <c r="M74" i="4"/>
  <c r="O74" i="4" s="1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5" i="4"/>
  <c r="O54" i="4"/>
  <c r="O53" i="4"/>
  <c r="K52" i="4"/>
  <c r="O52" i="4" s="1"/>
  <c r="AK36" i="4"/>
  <c r="Y35" i="4"/>
  <c r="Z35" i="4" s="1"/>
  <c r="V34" i="4"/>
  <c r="W34" i="4" s="1"/>
  <c r="V33" i="4"/>
  <c r="W33" i="4" s="1"/>
  <c r="AN31" i="4"/>
  <c r="AE27" i="4"/>
  <c r="M26" i="4"/>
  <c r="N26" i="4" s="1"/>
  <c r="AP39" i="4"/>
  <c r="AT39" i="4" s="1"/>
  <c r="AN39" i="4"/>
  <c r="AO39" i="4" s="1"/>
  <c r="AK39" i="4"/>
  <c r="AL39" i="4" s="1"/>
  <c r="AH39" i="4"/>
  <c r="AI39" i="4" s="1"/>
  <c r="AE39" i="4"/>
  <c r="AF39" i="4" s="1"/>
  <c r="AB39" i="4"/>
  <c r="AC39" i="4" s="1"/>
  <c r="Y39" i="4"/>
  <c r="Z39" i="4" s="1"/>
  <c r="V39" i="4"/>
  <c r="W39" i="4" s="1"/>
  <c r="S39" i="4"/>
  <c r="T39" i="4" s="1"/>
  <c r="P39" i="4"/>
  <c r="Q39" i="4" s="1"/>
  <c r="M39" i="4"/>
  <c r="N39" i="4" s="1"/>
  <c r="J39" i="4"/>
  <c r="K39" i="4" s="1"/>
  <c r="G39" i="4"/>
  <c r="AP38" i="4"/>
  <c r="AN38" i="4"/>
  <c r="AO38" i="4" s="1"/>
  <c r="AH38" i="4"/>
  <c r="AI38" i="4" s="1"/>
  <c r="AE38" i="4"/>
  <c r="AF38" i="4" s="1"/>
  <c r="AB38" i="4"/>
  <c r="AC38" i="4" s="1"/>
  <c r="Y38" i="4"/>
  <c r="Z38" i="4" s="1"/>
  <c r="V38" i="4"/>
  <c r="W38" i="4" s="1"/>
  <c r="S38" i="4"/>
  <c r="T38" i="4" s="1"/>
  <c r="P38" i="4"/>
  <c r="Q38" i="4" s="1"/>
  <c r="M38" i="4"/>
  <c r="N38" i="4" s="1"/>
  <c r="J38" i="4"/>
  <c r="K38" i="4" s="1"/>
  <c r="G38" i="4"/>
  <c r="AP37" i="4"/>
  <c r="AN37" i="4"/>
  <c r="AO37" i="4" s="1"/>
  <c r="AK37" i="4"/>
  <c r="AL37" i="4" s="1"/>
  <c r="AH37" i="4"/>
  <c r="AI37" i="4" s="1"/>
  <c r="AE37" i="4"/>
  <c r="AF37" i="4" s="1"/>
  <c r="AB37" i="4"/>
  <c r="AC37" i="4" s="1"/>
  <c r="Y37" i="4"/>
  <c r="Z37" i="4" s="1"/>
  <c r="V37" i="4"/>
  <c r="W37" i="4" s="1"/>
  <c r="S37" i="4"/>
  <c r="T37" i="4" s="1"/>
  <c r="P37" i="4"/>
  <c r="Q37" i="4" s="1"/>
  <c r="M37" i="4"/>
  <c r="N37" i="4" s="1"/>
  <c r="J37" i="4"/>
  <c r="K37" i="4" s="1"/>
  <c r="G37" i="4"/>
  <c r="AP36" i="4"/>
  <c r="AT36" i="4" s="1"/>
  <c r="AN36" i="4"/>
  <c r="AO36" i="4" s="1"/>
  <c r="AL36" i="4"/>
  <c r="AH36" i="4"/>
  <c r="AI36" i="4" s="1"/>
  <c r="AE36" i="4"/>
  <c r="AF36" i="4" s="1"/>
  <c r="AB36" i="4"/>
  <c r="AC36" i="4" s="1"/>
  <c r="Y36" i="4"/>
  <c r="Z36" i="4" s="1"/>
  <c r="V36" i="4"/>
  <c r="W36" i="4" s="1"/>
  <c r="S36" i="4"/>
  <c r="T36" i="4" s="1"/>
  <c r="P36" i="4"/>
  <c r="Q36" i="4" s="1"/>
  <c r="J36" i="4"/>
  <c r="K36" i="4" s="1"/>
  <c r="G36" i="4"/>
  <c r="H36" i="4" s="1"/>
  <c r="AP35" i="4"/>
  <c r="AT35" i="4" s="1"/>
  <c r="AN35" i="4"/>
  <c r="AO35" i="4" s="1"/>
  <c r="AK35" i="4"/>
  <c r="AL35" i="4" s="1"/>
  <c r="AH35" i="4"/>
  <c r="AI35" i="4" s="1"/>
  <c r="AE35" i="4"/>
  <c r="AF35" i="4" s="1"/>
  <c r="AB35" i="4"/>
  <c r="AC35" i="4" s="1"/>
  <c r="V35" i="4"/>
  <c r="W35" i="4" s="1"/>
  <c r="S35" i="4"/>
  <c r="T35" i="4" s="1"/>
  <c r="P35" i="4"/>
  <c r="Q35" i="4" s="1"/>
  <c r="M35" i="4"/>
  <c r="N35" i="4" s="1"/>
  <c r="J35" i="4"/>
  <c r="K35" i="4" s="1"/>
  <c r="G35" i="4"/>
  <c r="AP34" i="4"/>
  <c r="AN34" i="4"/>
  <c r="AO34" i="4" s="1"/>
  <c r="AK34" i="4"/>
  <c r="AL34" i="4" s="1"/>
  <c r="AH34" i="4"/>
  <c r="AI34" i="4" s="1"/>
  <c r="AE34" i="4"/>
  <c r="AF34" i="4" s="1"/>
  <c r="AB34" i="4"/>
  <c r="AC34" i="4" s="1"/>
  <c r="Y34" i="4"/>
  <c r="Z34" i="4" s="1"/>
  <c r="S34" i="4"/>
  <c r="T34" i="4" s="1"/>
  <c r="P34" i="4"/>
  <c r="Q34" i="4" s="1"/>
  <c r="M34" i="4"/>
  <c r="N34" i="4" s="1"/>
  <c r="J34" i="4"/>
  <c r="K34" i="4" s="1"/>
  <c r="G34" i="4"/>
  <c r="C34" i="4"/>
  <c r="AP33" i="4"/>
  <c r="AT33" i="4" s="1"/>
  <c r="AN33" i="4"/>
  <c r="AO33" i="4" s="1"/>
  <c r="AK33" i="4"/>
  <c r="AL33" i="4" s="1"/>
  <c r="AH33" i="4"/>
  <c r="AI33" i="4" s="1"/>
  <c r="AE33" i="4"/>
  <c r="AF33" i="4" s="1"/>
  <c r="AB33" i="4"/>
  <c r="AC33" i="4" s="1"/>
  <c r="Y33" i="4"/>
  <c r="Z33" i="4" s="1"/>
  <c r="S33" i="4"/>
  <c r="T33" i="4" s="1"/>
  <c r="P33" i="4"/>
  <c r="Q33" i="4" s="1"/>
  <c r="M33" i="4"/>
  <c r="N33" i="4" s="1"/>
  <c r="J33" i="4"/>
  <c r="K33" i="4" s="1"/>
  <c r="G33" i="4"/>
  <c r="H33" i="4" s="1"/>
  <c r="C33" i="4"/>
  <c r="AP32" i="4"/>
  <c r="AN32" i="4"/>
  <c r="AK32" i="4"/>
  <c r="AH32" i="4"/>
  <c r="AI32" i="4" s="1"/>
  <c r="AE32" i="4"/>
  <c r="AF32" i="4" s="1"/>
  <c r="AB32" i="4"/>
  <c r="AC32" i="4" s="1"/>
  <c r="Y32" i="4"/>
  <c r="Z32" i="4" s="1"/>
  <c r="V32" i="4"/>
  <c r="W32" i="4" s="1"/>
  <c r="S32" i="4"/>
  <c r="T32" i="4" s="1"/>
  <c r="P32" i="4"/>
  <c r="Q32" i="4" s="1"/>
  <c r="M32" i="4"/>
  <c r="N32" i="4" s="1"/>
  <c r="J32" i="4"/>
  <c r="K32" i="4" s="1"/>
  <c r="G32" i="4"/>
  <c r="C32" i="4"/>
  <c r="AK31" i="4"/>
  <c r="AH31" i="4"/>
  <c r="AI31" i="4" s="1"/>
  <c r="AE31" i="4"/>
  <c r="AF31" i="4" s="1"/>
  <c r="AB31" i="4"/>
  <c r="AC31" i="4" s="1"/>
  <c r="Y31" i="4"/>
  <c r="Z31" i="4" s="1"/>
  <c r="V31" i="4"/>
  <c r="W31" i="4" s="1"/>
  <c r="S31" i="4"/>
  <c r="T31" i="4" s="1"/>
  <c r="M31" i="4"/>
  <c r="N31" i="4" s="1"/>
  <c r="J31" i="4"/>
  <c r="K31" i="4" s="1"/>
  <c r="G31" i="4"/>
  <c r="H31" i="4" s="1"/>
  <c r="C31" i="4"/>
  <c r="AP30" i="4"/>
  <c r="AN30" i="4"/>
  <c r="AO30" i="4" s="1"/>
  <c r="AK30" i="4"/>
  <c r="AL30" i="4" s="1"/>
  <c r="AH30" i="4"/>
  <c r="AI30" i="4" s="1"/>
  <c r="AE30" i="4"/>
  <c r="AF30" i="4" s="1"/>
  <c r="AB30" i="4"/>
  <c r="AC30" i="4" s="1"/>
  <c r="Y30" i="4"/>
  <c r="Z30" i="4" s="1"/>
  <c r="V30" i="4"/>
  <c r="W30" i="4" s="1"/>
  <c r="S30" i="4"/>
  <c r="T30" i="4" s="1"/>
  <c r="P30" i="4"/>
  <c r="Q30" i="4" s="1"/>
  <c r="M30" i="4"/>
  <c r="N30" i="4" s="1"/>
  <c r="J30" i="4"/>
  <c r="K30" i="4" s="1"/>
  <c r="G30" i="4"/>
  <c r="C30" i="4"/>
  <c r="AN29" i="4"/>
  <c r="AO29" i="4" s="1"/>
  <c r="AK29" i="4"/>
  <c r="AL29" i="4" s="1"/>
  <c r="AH29" i="4"/>
  <c r="AI29" i="4" s="1"/>
  <c r="AE29" i="4"/>
  <c r="AF29" i="4" s="1"/>
  <c r="AB29" i="4"/>
  <c r="AC29" i="4" s="1"/>
  <c r="Y29" i="4"/>
  <c r="Z29" i="4" s="1"/>
  <c r="V29" i="4"/>
  <c r="W29" i="4" s="1"/>
  <c r="S29" i="4"/>
  <c r="T29" i="4" s="1"/>
  <c r="P29" i="4"/>
  <c r="Q29" i="4" s="1"/>
  <c r="M29" i="4"/>
  <c r="N29" i="4" s="1"/>
  <c r="J29" i="4"/>
  <c r="K29" i="4" s="1"/>
  <c r="G29" i="4"/>
  <c r="H29" i="4" s="1"/>
  <c r="C29" i="4"/>
  <c r="AN28" i="4"/>
  <c r="AK28" i="4"/>
  <c r="AL28" i="4" s="1"/>
  <c r="AH28" i="4"/>
  <c r="AI28" i="4" s="1"/>
  <c r="AE28" i="4"/>
  <c r="AF28" i="4" s="1"/>
  <c r="AB28" i="4"/>
  <c r="Y28" i="4"/>
  <c r="Z28" i="4" s="1"/>
  <c r="V28" i="4"/>
  <c r="W28" i="4" s="1"/>
  <c r="S28" i="4"/>
  <c r="T28" i="4" s="1"/>
  <c r="P28" i="4"/>
  <c r="Q28" i="4" s="1"/>
  <c r="M28" i="4"/>
  <c r="N28" i="4" s="1"/>
  <c r="J28" i="4"/>
  <c r="K28" i="4" s="1"/>
  <c r="G28" i="4"/>
  <c r="C28" i="4"/>
  <c r="AN27" i="4"/>
  <c r="AO27" i="4" s="1"/>
  <c r="AK27" i="4"/>
  <c r="AL27" i="4" s="1"/>
  <c r="AH27" i="4"/>
  <c r="AI27" i="4" s="1"/>
  <c r="AB27" i="4"/>
  <c r="Y27" i="4"/>
  <c r="Z27" i="4" s="1"/>
  <c r="V27" i="4"/>
  <c r="W27" i="4" s="1"/>
  <c r="S27" i="4"/>
  <c r="T27" i="4" s="1"/>
  <c r="P27" i="4"/>
  <c r="Q27" i="4" s="1"/>
  <c r="M27" i="4"/>
  <c r="N27" i="4" s="1"/>
  <c r="J27" i="4"/>
  <c r="K27" i="4" s="1"/>
  <c r="G27" i="4"/>
  <c r="H27" i="4" s="1"/>
  <c r="C27" i="4"/>
  <c r="AN26" i="4"/>
  <c r="AO26" i="4" s="1"/>
  <c r="AK26" i="4"/>
  <c r="AH26" i="4"/>
  <c r="AI26" i="4" s="1"/>
  <c r="AE26" i="4"/>
  <c r="AF26" i="4" s="1"/>
  <c r="AB26" i="4"/>
  <c r="AC26" i="4" s="1"/>
  <c r="Y26" i="4"/>
  <c r="Z26" i="4" s="1"/>
  <c r="V26" i="4"/>
  <c r="W26" i="4" s="1"/>
  <c r="S26" i="4"/>
  <c r="T26" i="4" s="1"/>
  <c r="P26" i="4"/>
  <c r="Q26" i="4" s="1"/>
  <c r="J26" i="4"/>
  <c r="K26" i="4" s="1"/>
  <c r="G26" i="4"/>
  <c r="C26" i="4"/>
  <c r="AP25" i="4"/>
  <c r="AT25" i="4" s="1"/>
  <c r="AN25" i="4"/>
  <c r="AK25" i="4"/>
  <c r="AL25" i="4" s="1"/>
  <c r="AH25" i="4"/>
  <c r="AI25" i="4" s="1"/>
  <c r="AE25" i="4"/>
  <c r="AF25" i="4" s="1"/>
  <c r="AB25" i="4"/>
  <c r="AC25" i="4" s="1"/>
  <c r="Y25" i="4"/>
  <c r="Z25" i="4" s="1"/>
  <c r="V25" i="4"/>
  <c r="W25" i="4" s="1"/>
  <c r="S25" i="4"/>
  <c r="T25" i="4" s="1"/>
  <c r="P25" i="4"/>
  <c r="Q25" i="4" s="1"/>
  <c r="M25" i="4"/>
  <c r="N25" i="4" s="1"/>
  <c r="J25" i="4"/>
  <c r="K25" i="4" s="1"/>
  <c r="G25" i="4"/>
  <c r="H25" i="4" s="1"/>
  <c r="C25" i="4"/>
  <c r="AN24" i="4"/>
  <c r="AK24" i="4"/>
  <c r="AL24" i="4" s="1"/>
  <c r="AH24" i="4"/>
  <c r="AI24" i="4" s="1"/>
  <c r="AE24" i="4"/>
  <c r="AF24" i="4" s="1"/>
  <c r="AB24" i="4"/>
  <c r="AC24" i="4" s="1"/>
  <c r="Y24" i="4"/>
  <c r="Z24" i="4" s="1"/>
  <c r="V24" i="4"/>
  <c r="W24" i="4" s="1"/>
  <c r="S24" i="4"/>
  <c r="T24" i="4" s="1"/>
  <c r="P24" i="4"/>
  <c r="Q24" i="4" s="1"/>
  <c r="M24" i="4"/>
  <c r="N24" i="4" s="1"/>
  <c r="J24" i="4"/>
  <c r="K24" i="4" s="1"/>
  <c r="G24" i="4"/>
  <c r="C24" i="4"/>
  <c r="AQ18" i="4"/>
  <c r="AP18" i="4"/>
  <c r="AO18" i="4"/>
  <c r="AL18" i="4"/>
  <c r="AI18" i="4"/>
  <c r="AF18" i="4"/>
  <c r="AC18" i="4"/>
  <c r="Z18" i="4"/>
  <c r="W18" i="4"/>
  <c r="T18" i="4"/>
  <c r="Q18" i="4"/>
  <c r="N18" i="4"/>
  <c r="K18" i="4"/>
  <c r="H18" i="4"/>
  <c r="AQ15" i="4"/>
  <c r="AP15" i="4"/>
  <c r="AT15" i="4" s="1"/>
  <c r="AO15" i="4"/>
  <c r="AL15" i="4"/>
  <c r="AI15" i="4"/>
  <c r="AF15" i="4"/>
  <c r="AC15" i="4"/>
  <c r="Z15" i="4"/>
  <c r="W15" i="4"/>
  <c r="T15" i="4"/>
  <c r="Q15" i="4"/>
  <c r="N15" i="4"/>
  <c r="K15" i="4"/>
  <c r="H15" i="4"/>
  <c r="AQ14" i="4"/>
  <c r="AO14" i="4"/>
  <c r="AI14" i="4"/>
  <c r="AF14" i="4"/>
  <c r="AC14" i="4"/>
  <c r="Z14" i="4"/>
  <c r="W14" i="4"/>
  <c r="T14" i="4"/>
  <c r="Q14" i="4"/>
  <c r="N14" i="4"/>
  <c r="K14" i="4"/>
  <c r="H14" i="4"/>
  <c r="AQ13" i="4"/>
  <c r="AO13" i="4"/>
  <c r="AI13" i="4"/>
  <c r="AF13" i="4"/>
  <c r="AC13" i="4"/>
  <c r="Z13" i="4"/>
  <c r="W13" i="4"/>
  <c r="T13" i="4"/>
  <c r="Q13" i="4"/>
  <c r="N13" i="4"/>
  <c r="K13" i="4"/>
  <c r="H13" i="4"/>
  <c r="AQ12" i="4"/>
  <c r="AO12" i="4"/>
  <c r="AI12" i="4"/>
  <c r="AF12" i="4"/>
  <c r="AC12" i="4"/>
  <c r="Z12" i="4"/>
  <c r="W12" i="4"/>
  <c r="T12" i="4"/>
  <c r="Q12" i="4"/>
  <c r="N12" i="4"/>
  <c r="K12" i="4"/>
  <c r="H12" i="4"/>
  <c r="AQ11" i="4"/>
  <c r="AP11" i="4"/>
  <c r="AO11" i="4"/>
  <c r="AL11" i="4"/>
  <c r="AI11" i="4"/>
  <c r="AF11" i="4"/>
  <c r="AC11" i="4"/>
  <c r="Z11" i="4"/>
  <c r="W11" i="4"/>
  <c r="T11" i="4"/>
  <c r="Q11" i="4"/>
  <c r="N11" i="4"/>
  <c r="K11" i="4"/>
  <c r="H11" i="4"/>
  <c r="AP10" i="4"/>
  <c r="AT10" i="4" s="1"/>
  <c r="AN10" i="4"/>
  <c r="AO10" i="4" s="1"/>
  <c r="AK10" i="4"/>
  <c r="AL10" i="4" s="1"/>
  <c r="AH10" i="4"/>
  <c r="AI10" i="4" s="1"/>
  <c r="AF10" i="4"/>
  <c r="AE10" i="4"/>
  <c r="AB10" i="4"/>
  <c r="AC10" i="4" s="1"/>
  <c r="Y10" i="4"/>
  <c r="Z10" i="4" s="1"/>
  <c r="V10" i="4"/>
  <c r="W10" i="4" s="1"/>
  <c r="S10" i="4"/>
  <c r="T10" i="4" s="1"/>
  <c r="P10" i="4"/>
  <c r="Q10" i="4" s="1"/>
  <c r="M10" i="4"/>
  <c r="N10" i="4" s="1"/>
  <c r="J10" i="4"/>
  <c r="K10" i="4" s="1"/>
  <c r="G10" i="4"/>
  <c r="AP9" i="4"/>
  <c r="AT9" i="4" s="1"/>
  <c r="AN9" i="4"/>
  <c r="AO9" i="4" s="1"/>
  <c r="AK9" i="4"/>
  <c r="AL9" i="4" s="1"/>
  <c r="AH9" i="4"/>
  <c r="AI9" i="4" s="1"/>
  <c r="AE9" i="4"/>
  <c r="AF9" i="4" s="1"/>
  <c r="AB9" i="4"/>
  <c r="AC9" i="4" s="1"/>
  <c r="Y9" i="4"/>
  <c r="Z9" i="4" s="1"/>
  <c r="V9" i="4"/>
  <c r="W9" i="4" s="1"/>
  <c r="S9" i="4"/>
  <c r="T9" i="4" s="1"/>
  <c r="P9" i="4"/>
  <c r="Q9" i="4" s="1"/>
  <c r="M9" i="4"/>
  <c r="N9" i="4" s="1"/>
  <c r="J9" i="4"/>
  <c r="K9" i="4" s="1"/>
  <c r="G9" i="4"/>
  <c r="AP8" i="4"/>
  <c r="AN8" i="4"/>
  <c r="AO8" i="4" s="1"/>
  <c r="AK8" i="4"/>
  <c r="AL8" i="4" s="1"/>
  <c r="AH8" i="4"/>
  <c r="AI8" i="4" s="1"/>
  <c r="AE8" i="4"/>
  <c r="AF8" i="4" s="1"/>
  <c r="AB8" i="4"/>
  <c r="AC8" i="4" s="1"/>
  <c r="Y8" i="4"/>
  <c r="Z8" i="4" s="1"/>
  <c r="V8" i="4"/>
  <c r="W8" i="4" s="1"/>
  <c r="S8" i="4"/>
  <c r="T8" i="4" s="1"/>
  <c r="P8" i="4"/>
  <c r="Q8" i="4" s="1"/>
  <c r="M8" i="4"/>
  <c r="N8" i="4" s="1"/>
  <c r="J8" i="4"/>
  <c r="K8" i="4" s="1"/>
  <c r="G8" i="4"/>
  <c r="AP7" i="4"/>
  <c r="AN7" i="4"/>
  <c r="AO7" i="4" s="1"/>
  <c r="AK7" i="4"/>
  <c r="AL7" i="4" s="1"/>
  <c r="AH7" i="4"/>
  <c r="AI7" i="4" s="1"/>
  <c r="AE7" i="4"/>
  <c r="AF7" i="4" s="1"/>
  <c r="AB7" i="4"/>
  <c r="AC7" i="4" s="1"/>
  <c r="Y7" i="4"/>
  <c r="Z7" i="4" s="1"/>
  <c r="V7" i="4"/>
  <c r="W7" i="4" s="1"/>
  <c r="S7" i="4"/>
  <c r="T7" i="4" s="1"/>
  <c r="P7" i="4"/>
  <c r="Q7" i="4" s="1"/>
  <c r="M7" i="4"/>
  <c r="N7" i="4" s="1"/>
  <c r="J7" i="4"/>
  <c r="K7" i="4" s="1"/>
  <c r="G7" i="4"/>
  <c r="AQ16" i="1"/>
  <c r="AO16" i="1"/>
  <c r="AP16" i="1"/>
  <c r="AT16" i="1" s="1"/>
  <c r="AL16" i="1"/>
  <c r="AI16" i="1"/>
  <c r="AF16" i="1"/>
  <c r="AC16" i="1"/>
  <c r="Z16" i="1"/>
  <c r="W16" i="1"/>
  <c r="T16" i="1"/>
  <c r="Q16" i="1"/>
  <c r="N16" i="1"/>
  <c r="K16" i="1"/>
  <c r="H16" i="1"/>
  <c r="AH23" i="1"/>
  <c r="AI23" i="1" s="1"/>
  <c r="AH24" i="1"/>
  <c r="AI24" i="1" s="1"/>
  <c r="AH25" i="1"/>
  <c r="AI25" i="1" s="1"/>
  <c r="AH26" i="1"/>
  <c r="AI26" i="1" s="1"/>
  <c r="AH27" i="1"/>
  <c r="AI27" i="1" s="1"/>
  <c r="AH28" i="1"/>
  <c r="AI28" i="1" s="1"/>
  <c r="AH29" i="1"/>
  <c r="AI29" i="1" s="1"/>
  <c r="AH30" i="1"/>
  <c r="AI30" i="1" s="1"/>
  <c r="AH31" i="1"/>
  <c r="AI31" i="1" s="1"/>
  <c r="AH32" i="1"/>
  <c r="AI32" i="1" s="1"/>
  <c r="AH33" i="1"/>
  <c r="AI33" i="1" s="1"/>
  <c r="AH34" i="1"/>
  <c r="AI34" i="1" s="1"/>
  <c r="AH35" i="1"/>
  <c r="AI35" i="1" s="1"/>
  <c r="AH36" i="1"/>
  <c r="AI36" i="1" s="1"/>
  <c r="AH37" i="1"/>
  <c r="AI37" i="1" s="1"/>
  <c r="AH38" i="1"/>
  <c r="AI38" i="1" s="1"/>
  <c r="AH39" i="1"/>
  <c r="AI39" i="1" s="1"/>
  <c r="AK37" i="1"/>
  <c r="AK39" i="1"/>
  <c r="AL39" i="1" s="1"/>
  <c r="AN37" i="1"/>
  <c r="AO37" i="1" s="1"/>
  <c r="AN39" i="1"/>
  <c r="AO39" i="1" s="1"/>
  <c r="AK22" i="1"/>
  <c r="AL22" i="1" s="1"/>
  <c r="AH22" i="1"/>
  <c r="AI22" i="1" s="1"/>
  <c r="AE23" i="1"/>
  <c r="AF23" i="1" s="1"/>
  <c r="AE24" i="1"/>
  <c r="AF24" i="1" s="1"/>
  <c r="AE26" i="1"/>
  <c r="AF26" i="1" s="1"/>
  <c r="AE27" i="1"/>
  <c r="AF27" i="1" s="1"/>
  <c r="AE28" i="1"/>
  <c r="AF28" i="1" s="1"/>
  <c r="AE29" i="1"/>
  <c r="AF29" i="1" s="1"/>
  <c r="AE30" i="1"/>
  <c r="AF30" i="1" s="1"/>
  <c r="AE31" i="1"/>
  <c r="AF31" i="1" s="1"/>
  <c r="AE32" i="1"/>
  <c r="AF32" i="1" s="1"/>
  <c r="AE33" i="1"/>
  <c r="AF33" i="1" s="1"/>
  <c r="AE34" i="1"/>
  <c r="AF34" i="1" s="1"/>
  <c r="AE35" i="1"/>
  <c r="AF35" i="1" s="1"/>
  <c r="AE36" i="1"/>
  <c r="AF36" i="1" s="1"/>
  <c r="AE37" i="1"/>
  <c r="AF37" i="1" s="1"/>
  <c r="AE38" i="1"/>
  <c r="AF38" i="1" s="1"/>
  <c r="AE39" i="1"/>
  <c r="AF39" i="1" s="1"/>
  <c r="AE22" i="1"/>
  <c r="AF22" i="1" s="1"/>
  <c r="AB23" i="1"/>
  <c r="AC23" i="1" s="1"/>
  <c r="AB24" i="1"/>
  <c r="AC24" i="1" s="1"/>
  <c r="AB25" i="1"/>
  <c r="AC25" i="1" s="1"/>
  <c r="AB26" i="1"/>
  <c r="AC26" i="1" s="1"/>
  <c r="AB27" i="1"/>
  <c r="AC27" i="1" s="1"/>
  <c r="AB28" i="1"/>
  <c r="AC28" i="1" s="1"/>
  <c r="AB29" i="1"/>
  <c r="AC29" i="1" s="1"/>
  <c r="AB30" i="1"/>
  <c r="AC30" i="1" s="1"/>
  <c r="AB31" i="1"/>
  <c r="AC31" i="1" s="1"/>
  <c r="AB32" i="1"/>
  <c r="AC32" i="1" s="1"/>
  <c r="AB33" i="1"/>
  <c r="AC33" i="1" s="1"/>
  <c r="AB34" i="1"/>
  <c r="AC34" i="1" s="1"/>
  <c r="AB35" i="1"/>
  <c r="AC35" i="1" s="1"/>
  <c r="AB36" i="1"/>
  <c r="AC36" i="1" s="1"/>
  <c r="AB37" i="1"/>
  <c r="AC37" i="1" s="1"/>
  <c r="AB38" i="1"/>
  <c r="AC38" i="1" s="1"/>
  <c r="AB39" i="1"/>
  <c r="AC39" i="1" s="1"/>
  <c r="AB22" i="1"/>
  <c r="AC22" i="1" s="1"/>
  <c r="Y24" i="1"/>
  <c r="Z24" i="1" s="1"/>
  <c r="Y27" i="1"/>
  <c r="Z27" i="1" s="1"/>
  <c r="Y30" i="1"/>
  <c r="Z30" i="1" s="1"/>
  <c r="Y31" i="1"/>
  <c r="Z31" i="1" s="1"/>
  <c r="Y37" i="1"/>
  <c r="Z37" i="1" s="1"/>
  <c r="Y38" i="1"/>
  <c r="Z38" i="1" s="1"/>
  <c r="Y39" i="1"/>
  <c r="Z39" i="1" s="1"/>
  <c r="Y22" i="1"/>
  <c r="Z22" i="1" s="1"/>
  <c r="V37" i="1"/>
  <c r="W37" i="1" s="1"/>
  <c r="V38" i="1"/>
  <c r="W38" i="1" s="1"/>
  <c r="V39" i="1"/>
  <c r="W39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22" i="1"/>
  <c r="T22" i="1" s="1"/>
  <c r="P24" i="1"/>
  <c r="Q24" i="1" s="1"/>
  <c r="P25" i="1"/>
  <c r="Q25" i="1" s="1"/>
  <c r="P27" i="1"/>
  <c r="Q27" i="1" s="1"/>
  <c r="P30" i="1"/>
  <c r="Q30" i="1" s="1"/>
  <c r="P31" i="1"/>
  <c r="Q31" i="1" s="1"/>
  <c r="P37" i="1"/>
  <c r="Q37" i="1" s="1"/>
  <c r="P38" i="1"/>
  <c r="Q38" i="1" s="1"/>
  <c r="P39" i="1"/>
  <c r="Q39" i="1" s="1"/>
  <c r="P22" i="1"/>
  <c r="Q22" i="1" s="1"/>
  <c r="M37" i="1"/>
  <c r="N37" i="1" s="1"/>
  <c r="M38" i="1"/>
  <c r="N38" i="1" s="1"/>
  <c r="M39" i="1"/>
  <c r="N39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22" i="1"/>
  <c r="K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G35" i="1"/>
  <c r="H35" i="1" s="1"/>
  <c r="G36" i="1"/>
  <c r="H36" i="1" s="1"/>
  <c r="G37" i="1"/>
  <c r="H37" i="1" s="1"/>
  <c r="G38" i="1"/>
  <c r="H38" i="1" s="1"/>
  <c r="G39" i="1"/>
  <c r="H39" i="1" s="1"/>
  <c r="G22" i="1"/>
  <c r="H22" i="1" s="1"/>
  <c r="O75" i="1"/>
  <c r="N74" i="1"/>
  <c r="AN38" i="1" s="1"/>
  <c r="AO38" i="1" s="1"/>
  <c r="M74" i="1"/>
  <c r="O73" i="1"/>
  <c r="N72" i="1"/>
  <c r="AN36" i="1" s="1"/>
  <c r="AO36" i="1" s="1"/>
  <c r="M72" i="1"/>
  <c r="AK36" i="1" s="1"/>
  <c r="AL36" i="1" s="1"/>
  <c r="I72" i="1"/>
  <c r="Y36" i="1" s="1"/>
  <c r="Z36" i="1" s="1"/>
  <c r="H72" i="1"/>
  <c r="V36" i="1" s="1"/>
  <c r="W36" i="1" s="1"/>
  <c r="F72" i="1"/>
  <c r="P36" i="1" s="1"/>
  <c r="Q36" i="1" s="1"/>
  <c r="E72" i="1"/>
  <c r="M36" i="1" s="1"/>
  <c r="N36" i="1" s="1"/>
  <c r="N71" i="1"/>
  <c r="AN35" i="1" s="1"/>
  <c r="AO35" i="1" s="1"/>
  <c r="M71" i="1"/>
  <c r="AK35" i="1" s="1"/>
  <c r="I71" i="1"/>
  <c r="Y35" i="1" s="1"/>
  <c r="Z35" i="1" s="1"/>
  <c r="H71" i="1"/>
  <c r="V35" i="1" s="1"/>
  <c r="W35" i="1" s="1"/>
  <c r="F71" i="1"/>
  <c r="P35" i="1" s="1"/>
  <c r="Q35" i="1" s="1"/>
  <c r="E71" i="1"/>
  <c r="M35" i="1" s="1"/>
  <c r="N35" i="1" s="1"/>
  <c r="N70" i="1"/>
  <c r="AN34" i="1" s="1"/>
  <c r="AO34" i="1" s="1"/>
  <c r="M70" i="1"/>
  <c r="AK34" i="1" s="1"/>
  <c r="AL34" i="1" s="1"/>
  <c r="I70" i="1"/>
  <c r="Y34" i="1" s="1"/>
  <c r="Z34" i="1" s="1"/>
  <c r="H70" i="1"/>
  <c r="V34" i="1" s="1"/>
  <c r="W34" i="1" s="1"/>
  <c r="F70" i="1"/>
  <c r="P34" i="1" s="1"/>
  <c r="Q34" i="1" s="1"/>
  <c r="E70" i="1"/>
  <c r="M34" i="1" s="1"/>
  <c r="N34" i="1" s="1"/>
  <c r="N69" i="1"/>
  <c r="AN33" i="1" s="1"/>
  <c r="AO33" i="1" s="1"/>
  <c r="M69" i="1"/>
  <c r="AK33" i="1" s="1"/>
  <c r="I69" i="1"/>
  <c r="Y33" i="1" s="1"/>
  <c r="Z33" i="1" s="1"/>
  <c r="H69" i="1"/>
  <c r="V33" i="1" s="1"/>
  <c r="W33" i="1" s="1"/>
  <c r="F69" i="1"/>
  <c r="P33" i="1" s="1"/>
  <c r="Q33" i="1" s="1"/>
  <c r="E69" i="1"/>
  <c r="M33" i="1" s="1"/>
  <c r="N33" i="1" s="1"/>
  <c r="N68" i="1"/>
  <c r="AN32" i="1" s="1"/>
  <c r="AO32" i="1" s="1"/>
  <c r="M68" i="1"/>
  <c r="AK32" i="1" s="1"/>
  <c r="AL32" i="1" s="1"/>
  <c r="I68" i="1"/>
  <c r="Y32" i="1" s="1"/>
  <c r="Z32" i="1" s="1"/>
  <c r="H68" i="1"/>
  <c r="V32" i="1" s="1"/>
  <c r="W32" i="1" s="1"/>
  <c r="F68" i="1"/>
  <c r="P32" i="1" s="1"/>
  <c r="Q32" i="1" s="1"/>
  <c r="E68" i="1"/>
  <c r="M32" i="1" s="1"/>
  <c r="N32" i="1" s="1"/>
  <c r="N67" i="1"/>
  <c r="AN31" i="1" s="1"/>
  <c r="AO31" i="1" s="1"/>
  <c r="M67" i="1"/>
  <c r="AK31" i="1" s="1"/>
  <c r="H67" i="1"/>
  <c r="V31" i="1" s="1"/>
  <c r="W31" i="1" s="1"/>
  <c r="E67" i="1"/>
  <c r="M31" i="1" s="1"/>
  <c r="N31" i="1" s="1"/>
  <c r="N66" i="1"/>
  <c r="AN30" i="1" s="1"/>
  <c r="AO30" i="1" s="1"/>
  <c r="M66" i="1"/>
  <c r="AK30" i="1" s="1"/>
  <c r="AL30" i="1" s="1"/>
  <c r="H66" i="1"/>
  <c r="V30" i="1" s="1"/>
  <c r="W30" i="1" s="1"/>
  <c r="E66" i="1"/>
  <c r="N65" i="1"/>
  <c r="AN29" i="1" s="1"/>
  <c r="AO29" i="1" s="1"/>
  <c r="M65" i="1"/>
  <c r="AK29" i="1" s="1"/>
  <c r="I65" i="1"/>
  <c r="Y29" i="1" s="1"/>
  <c r="Z29" i="1" s="1"/>
  <c r="H65" i="1"/>
  <c r="V29" i="1" s="1"/>
  <c r="W29" i="1" s="1"/>
  <c r="F65" i="1"/>
  <c r="P29" i="1" s="1"/>
  <c r="Q29" i="1" s="1"/>
  <c r="E65" i="1"/>
  <c r="N64" i="1"/>
  <c r="AN28" i="1" s="1"/>
  <c r="AO28" i="1" s="1"/>
  <c r="M64" i="1"/>
  <c r="AK28" i="1" s="1"/>
  <c r="AL28" i="1" s="1"/>
  <c r="I64" i="1"/>
  <c r="Y28" i="1" s="1"/>
  <c r="Z28" i="1" s="1"/>
  <c r="H64" i="1"/>
  <c r="V28" i="1" s="1"/>
  <c r="W28" i="1" s="1"/>
  <c r="F64" i="1"/>
  <c r="P28" i="1" s="1"/>
  <c r="Q28" i="1" s="1"/>
  <c r="E64" i="1"/>
  <c r="N63" i="1"/>
  <c r="AN27" i="1" s="1"/>
  <c r="AO27" i="1" s="1"/>
  <c r="M63" i="1"/>
  <c r="AK27" i="1" s="1"/>
  <c r="H63" i="1"/>
  <c r="V27" i="1" s="1"/>
  <c r="W27" i="1" s="1"/>
  <c r="E63" i="1"/>
  <c r="N62" i="1"/>
  <c r="AN26" i="1" s="1"/>
  <c r="AO26" i="1" s="1"/>
  <c r="M62" i="1"/>
  <c r="AK26" i="1" s="1"/>
  <c r="AL26" i="1" s="1"/>
  <c r="I62" i="1"/>
  <c r="Y26" i="1" s="1"/>
  <c r="Z26" i="1" s="1"/>
  <c r="H62" i="1"/>
  <c r="V26" i="1" s="1"/>
  <c r="W26" i="1" s="1"/>
  <c r="F62" i="1"/>
  <c r="P26" i="1" s="1"/>
  <c r="Q26" i="1" s="1"/>
  <c r="E62" i="1"/>
  <c r="N61" i="1"/>
  <c r="AN25" i="1" s="1"/>
  <c r="AO25" i="1" s="1"/>
  <c r="M61" i="1"/>
  <c r="AK25" i="1" s="1"/>
  <c r="AL25" i="1" s="1"/>
  <c r="K61" i="1"/>
  <c r="AE25" i="1" s="1"/>
  <c r="AF25" i="1" s="1"/>
  <c r="I61" i="1"/>
  <c r="Y25" i="1" s="1"/>
  <c r="Z25" i="1" s="1"/>
  <c r="H61" i="1"/>
  <c r="V25" i="1" s="1"/>
  <c r="W25" i="1" s="1"/>
  <c r="E61" i="1"/>
  <c r="N60" i="1"/>
  <c r="AN24" i="1" s="1"/>
  <c r="AO24" i="1" s="1"/>
  <c r="M60" i="1"/>
  <c r="AK24" i="1" s="1"/>
  <c r="AL24" i="1" s="1"/>
  <c r="H60" i="1"/>
  <c r="V24" i="1" s="1"/>
  <c r="W24" i="1" s="1"/>
  <c r="E60" i="1"/>
  <c r="N59" i="1"/>
  <c r="AN23" i="1" s="1"/>
  <c r="AO23" i="1" s="1"/>
  <c r="M59" i="1"/>
  <c r="AK23" i="1" s="1"/>
  <c r="AL23" i="1" s="1"/>
  <c r="I59" i="1"/>
  <c r="Y23" i="1" s="1"/>
  <c r="Z23" i="1" s="1"/>
  <c r="H59" i="1"/>
  <c r="V23" i="1" s="1"/>
  <c r="W23" i="1" s="1"/>
  <c r="F59" i="1"/>
  <c r="P23" i="1" s="1"/>
  <c r="Q23" i="1" s="1"/>
  <c r="E59" i="1"/>
  <c r="N58" i="1"/>
  <c r="AN22" i="1" s="1"/>
  <c r="AO22" i="1" s="1"/>
  <c r="H58" i="1"/>
  <c r="E58" i="1"/>
  <c r="M22" i="1" s="1"/>
  <c r="N22" i="1" s="1"/>
  <c r="AQ11" i="1"/>
  <c r="AQ12" i="1"/>
  <c r="AQ13" i="1"/>
  <c r="AQ14" i="1"/>
  <c r="AQ15" i="1"/>
  <c r="AP22" i="1"/>
  <c r="AT22" i="1" s="1"/>
  <c r="AP23" i="1"/>
  <c r="AT23" i="1" s="1"/>
  <c r="AP24" i="1"/>
  <c r="AP25" i="1"/>
  <c r="AT25" i="1" s="1"/>
  <c r="AP26" i="1"/>
  <c r="AP27" i="1"/>
  <c r="AT27" i="1" s="1"/>
  <c r="AP28" i="1"/>
  <c r="AT28" i="1" s="1"/>
  <c r="AP29" i="1"/>
  <c r="AT29" i="1" s="1"/>
  <c r="AP30" i="1"/>
  <c r="AT30" i="1" s="1"/>
  <c r="AP31" i="1"/>
  <c r="AT31" i="1" s="1"/>
  <c r="AP32" i="1"/>
  <c r="AT32" i="1" s="1"/>
  <c r="AP33" i="1"/>
  <c r="AT33" i="1" s="1"/>
  <c r="AP34" i="1"/>
  <c r="AT34" i="1" s="1"/>
  <c r="AP35" i="1"/>
  <c r="AT35" i="1" s="1"/>
  <c r="AP36" i="1"/>
  <c r="AT36" i="1" s="1"/>
  <c r="AP37" i="1"/>
  <c r="AT37" i="1" s="1"/>
  <c r="AP38" i="1"/>
  <c r="AT38" i="1" s="1"/>
  <c r="AP39" i="1"/>
  <c r="AP8" i="1"/>
  <c r="AT8" i="1" s="1"/>
  <c r="AP9" i="1"/>
  <c r="AT9" i="1" s="1"/>
  <c r="AP10" i="1"/>
  <c r="AT10" i="1" s="1"/>
  <c r="AP11" i="1"/>
  <c r="AT11" i="1" s="1"/>
  <c r="AP12" i="1"/>
  <c r="AT12" i="1" s="1"/>
  <c r="AP13" i="1"/>
  <c r="AP14" i="1"/>
  <c r="AT14" i="1" s="1"/>
  <c r="AP15" i="1"/>
  <c r="AP7" i="1"/>
  <c r="AT7" i="1" s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AO11" i="1"/>
  <c r="AO12" i="1"/>
  <c r="AO13" i="1"/>
  <c r="AO14" i="1"/>
  <c r="AO15" i="1"/>
  <c r="AL11" i="1"/>
  <c r="AL12" i="1"/>
  <c r="AL13" i="1"/>
  <c r="AL14" i="1"/>
  <c r="AL15" i="1"/>
  <c r="AI11" i="1"/>
  <c r="AI12" i="1"/>
  <c r="AI13" i="1"/>
  <c r="AI14" i="1"/>
  <c r="AI15" i="1"/>
  <c r="AF11" i="1"/>
  <c r="AF12" i="1"/>
  <c r="AF13" i="1"/>
  <c r="AF14" i="1"/>
  <c r="AF15" i="1"/>
  <c r="AC11" i="1"/>
  <c r="AC12" i="1"/>
  <c r="AC13" i="1"/>
  <c r="AC14" i="1"/>
  <c r="AC15" i="1"/>
  <c r="Z11" i="1"/>
  <c r="Z12" i="1"/>
  <c r="Z13" i="1"/>
  <c r="Z14" i="1"/>
  <c r="Z15" i="1"/>
  <c r="W11" i="1"/>
  <c r="W12" i="1"/>
  <c r="W13" i="1"/>
  <c r="W14" i="1"/>
  <c r="W15" i="1"/>
  <c r="T11" i="1"/>
  <c r="T12" i="1"/>
  <c r="T13" i="1"/>
  <c r="T14" i="1"/>
  <c r="T15" i="1"/>
  <c r="Q11" i="1"/>
  <c r="Q12" i="1"/>
  <c r="Q13" i="1"/>
  <c r="Q14" i="1"/>
  <c r="Q15" i="1"/>
  <c r="N11" i="1"/>
  <c r="N12" i="1"/>
  <c r="N13" i="1"/>
  <c r="N14" i="1"/>
  <c r="N15" i="1"/>
  <c r="K11" i="1"/>
  <c r="K12" i="1"/>
  <c r="K13" i="1"/>
  <c r="K14" i="1"/>
  <c r="K15" i="1"/>
  <c r="H11" i="1"/>
  <c r="H12" i="1"/>
  <c r="H13" i="1"/>
  <c r="H14" i="1"/>
  <c r="H15" i="1"/>
  <c r="AN8" i="1"/>
  <c r="AO8" i="1" s="1"/>
  <c r="AN9" i="1"/>
  <c r="AO9" i="1" s="1"/>
  <c r="AN10" i="1"/>
  <c r="AO10" i="1" s="1"/>
  <c r="AK8" i="1"/>
  <c r="AL8" i="1" s="1"/>
  <c r="AK9" i="1"/>
  <c r="AL9" i="1" s="1"/>
  <c r="AK10" i="1"/>
  <c r="AL10" i="1" s="1"/>
  <c r="AH8" i="1"/>
  <c r="AI8" i="1" s="1"/>
  <c r="AH9" i="1"/>
  <c r="AI9" i="1" s="1"/>
  <c r="AH10" i="1"/>
  <c r="AI10" i="1" s="1"/>
  <c r="AE8" i="1"/>
  <c r="AF8" i="1" s="1"/>
  <c r="AE9" i="1"/>
  <c r="AF9" i="1" s="1"/>
  <c r="AE10" i="1"/>
  <c r="AF10" i="1" s="1"/>
  <c r="AB8" i="1"/>
  <c r="AC8" i="1" s="1"/>
  <c r="AB9" i="1"/>
  <c r="AC9" i="1" s="1"/>
  <c r="AB10" i="1"/>
  <c r="AC10" i="1" s="1"/>
  <c r="Y8" i="1"/>
  <c r="Z8" i="1" s="1"/>
  <c r="Y9" i="1"/>
  <c r="Z9" i="1" s="1"/>
  <c r="Y10" i="1"/>
  <c r="Z10" i="1" s="1"/>
  <c r="V8" i="1"/>
  <c r="W8" i="1" s="1"/>
  <c r="V9" i="1"/>
  <c r="W9" i="1" s="1"/>
  <c r="V10" i="1"/>
  <c r="W10" i="1" s="1"/>
  <c r="S8" i="1"/>
  <c r="T8" i="1" s="1"/>
  <c r="S9" i="1"/>
  <c r="T9" i="1" s="1"/>
  <c r="S10" i="1"/>
  <c r="T10" i="1" s="1"/>
  <c r="P8" i="1"/>
  <c r="Q8" i="1" s="1"/>
  <c r="P9" i="1"/>
  <c r="Q9" i="1" s="1"/>
  <c r="P10" i="1"/>
  <c r="Q10" i="1" s="1"/>
  <c r="M8" i="1"/>
  <c r="N8" i="1" s="1"/>
  <c r="M9" i="1"/>
  <c r="N9" i="1" s="1"/>
  <c r="M10" i="1"/>
  <c r="N10" i="1" s="1"/>
  <c r="J8" i="1"/>
  <c r="K8" i="1" s="1"/>
  <c r="J9" i="1"/>
  <c r="K9" i="1" s="1"/>
  <c r="J10" i="1"/>
  <c r="K10" i="1" s="1"/>
  <c r="G8" i="1"/>
  <c r="H8" i="1" s="1"/>
  <c r="G9" i="1"/>
  <c r="G10" i="1"/>
  <c r="H10" i="1" s="1"/>
  <c r="AN7" i="1"/>
  <c r="AO7" i="1" s="1"/>
  <c r="AK7" i="1"/>
  <c r="AL7" i="1" s="1"/>
  <c r="AH7" i="1"/>
  <c r="AI7" i="1" s="1"/>
  <c r="AE7" i="1"/>
  <c r="AF7" i="1" s="1"/>
  <c r="AB7" i="1"/>
  <c r="AC7" i="1" s="1"/>
  <c r="Y7" i="1"/>
  <c r="Z7" i="1" s="1"/>
  <c r="V7" i="1"/>
  <c r="W7" i="1" s="1"/>
  <c r="S7" i="1"/>
  <c r="T7" i="1" s="1"/>
  <c r="P7" i="1"/>
  <c r="Q7" i="1" s="1"/>
  <c r="M7" i="1"/>
  <c r="N7" i="1" s="1"/>
  <c r="J7" i="1"/>
  <c r="K7" i="1" s="1"/>
  <c r="G7" i="1"/>
  <c r="H7" i="1" s="1"/>
  <c r="AP29" i="4" l="1"/>
  <c r="AT29" i="4" s="1"/>
  <c r="AP13" i="4"/>
  <c r="AT13" i="4" s="1"/>
  <c r="AP16" i="4"/>
  <c r="AL14" i="4"/>
  <c r="AL32" i="4"/>
  <c r="AQ8" i="4"/>
  <c r="AR18" i="4"/>
  <c r="AS18" i="4" s="1"/>
  <c r="AO25" i="4"/>
  <c r="AC28" i="4"/>
  <c r="AO32" i="4"/>
  <c r="AP27" i="4"/>
  <c r="AT27" i="4" s="1"/>
  <c r="AP28" i="4"/>
  <c r="AQ16" i="4"/>
  <c r="AR16" i="4" s="1"/>
  <c r="AS16" i="4" s="1"/>
  <c r="AQ17" i="4"/>
  <c r="AR17" i="4" s="1"/>
  <c r="AS17" i="4" s="1"/>
  <c r="AR15" i="1"/>
  <c r="AS15" i="1" s="1"/>
  <c r="O66" i="1"/>
  <c r="AR14" i="1"/>
  <c r="AS14" i="1" s="1"/>
  <c r="AR16" i="1"/>
  <c r="AS16" i="1" s="1"/>
  <c r="AQ39" i="1"/>
  <c r="AR39" i="1" s="1"/>
  <c r="AS39" i="1" s="1"/>
  <c r="AQ10" i="4"/>
  <c r="AR10" i="4" s="1"/>
  <c r="AS10" i="4" s="1"/>
  <c r="AQ34" i="4"/>
  <c r="AR34" i="4" s="1"/>
  <c r="AS34" i="4" s="1"/>
  <c r="H10" i="4"/>
  <c r="AL26" i="4"/>
  <c r="AC27" i="4"/>
  <c r="AO28" i="4"/>
  <c r="H16" i="4"/>
  <c r="AO24" i="4"/>
  <c r="AP26" i="4"/>
  <c r="AT26" i="4" s="1"/>
  <c r="H17" i="4"/>
  <c r="AT16" i="4"/>
  <c r="AL16" i="4"/>
  <c r="AR11" i="4"/>
  <c r="AS11" i="4" s="1"/>
  <c r="AR12" i="4"/>
  <c r="AS12" i="4" s="1"/>
  <c r="AO31" i="4"/>
  <c r="AP31" i="4"/>
  <c r="AT31" i="4" s="1"/>
  <c r="AL31" i="4"/>
  <c r="AL12" i="4"/>
  <c r="AR14" i="4"/>
  <c r="AS14" i="4" s="1"/>
  <c r="AQ25" i="4"/>
  <c r="AR25" i="4" s="1"/>
  <c r="AS25" i="4" s="1"/>
  <c r="AQ24" i="4"/>
  <c r="AR24" i="4" s="1"/>
  <c r="AS24" i="4" s="1"/>
  <c r="AQ26" i="4"/>
  <c r="AQ9" i="4"/>
  <c r="AR9" i="4" s="1"/>
  <c r="AS9" i="4" s="1"/>
  <c r="AQ7" i="4"/>
  <c r="AR8" i="4"/>
  <c r="AS8" i="4" s="1"/>
  <c r="AQ27" i="4"/>
  <c r="AR27" i="4" s="1"/>
  <c r="AS27" i="4" s="1"/>
  <c r="AF27" i="4"/>
  <c r="AR7" i="4"/>
  <c r="AS7" i="4" s="1"/>
  <c r="AQ29" i="4"/>
  <c r="AR29" i="4" s="1"/>
  <c r="AS29" i="4" s="1"/>
  <c r="H7" i="4"/>
  <c r="AT8" i="4"/>
  <c r="AT12" i="4"/>
  <c r="AT18" i="4"/>
  <c r="AT24" i="4"/>
  <c r="AQ28" i="4"/>
  <c r="AR28" i="4" s="1"/>
  <c r="AS28" i="4" s="1"/>
  <c r="AQ37" i="4"/>
  <c r="AR37" i="4" s="1"/>
  <c r="AS37" i="4" s="1"/>
  <c r="H37" i="4"/>
  <c r="AK38" i="4"/>
  <c r="AL38" i="4" s="1"/>
  <c r="AT7" i="4"/>
  <c r="AT11" i="4"/>
  <c r="H8" i="4"/>
  <c r="AR15" i="4"/>
  <c r="AS15" i="4" s="1"/>
  <c r="H24" i="4"/>
  <c r="H26" i="4"/>
  <c r="H28" i="4"/>
  <c r="P31" i="4"/>
  <c r="AQ35" i="4"/>
  <c r="AR35" i="4" s="1"/>
  <c r="AS35" i="4" s="1"/>
  <c r="M36" i="4"/>
  <c r="AQ38" i="4"/>
  <c r="AR38" i="4" s="1"/>
  <c r="AS38" i="4" s="1"/>
  <c r="H9" i="4"/>
  <c r="AT28" i="4"/>
  <c r="AQ30" i="4"/>
  <c r="AR30" i="4" s="1"/>
  <c r="AS30" i="4" s="1"/>
  <c r="H30" i="4"/>
  <c r="AT30" i="4"/>
  <c r="AQ32" i="4"/>
  <c r="AR32" i="4" s="1"/>
  <c r="AS32" i="4" s="1"/>
  <c r="H32" i="4"/>
  <c r="AT32" i="4"/>
  <c r="AQ33" i="4"/>
  <c r="AR33" i="4" s="1"/>
  <c r="AS33" i="4" s="1"/>
  <c r="AT37" i="4"/>
  <c r="AQ39" i="4"/>
  <c r="AR39" i="4" s="1"/>
  <c r="AS39" i="4" s="1"/>
  <c r="AT34" i="4"/>
  <c r="AT38" i="4"/>
  <c r="H34" i="4"/>
  <c r="H38" i="4"/>
  <c r="H35" i="4"/>
  <c r="H39" i="4"/>
  <c r="AQ34" i="1"/>
  <c r="AR34" i="1" s="1"/>
  <c r="AS34" i="1" s="1"/>
  <c r="AQ32" i="1"/>
  <c r="AR32" i="1" s="1"/>
  <c r="AS32" i="1" s="1"/>
  <c r="AL29" i="1"/>
  <c r="AQ33" i="1"/>
  <c r="AR33" i="1" s="1"/>
  <c r="AS33" i="1" s="1"/>
  <c r="AL33" i="1"/>
  <c r="O61" i="1"/>
  <c r="M25" i="1"/>
  <c r="O63" i="1"/>
  <c r="M27" i="1"/>
  <c r="N27" i="1" s="1"/>
  <c r="AQ37" i="1"/>
  <c r="AR37" i="1" s="1"/>
  <c r="AS37" i="1" s="1"/>
  <c r="AL37" i="1"/>
  <c r="AT39" i="1"/>
  <c r="AQ36" i="1"/>
  <c r="AR36" i="1" s="1"/>
  <c r="AS36" i="1" s="1"/>
  <c r="H34" i="1"/>
  <c r="O58" i="1"/>
  <c r="V22" i="1"/>
  <c r="W22" i="1" s="1"/>
  <c r="O60" i="1"/>
  <c r="M24" i="1"/>
  <c r="AT26" i="1"/>
  <c r="O59" i="1"/>
  <c r="M23" i="1"/>
  <c r="O62" i="1"/>
  <c r="AL27" i="1"/>
  <c r="O65" i="1"/>
  <c r="M29" i="1"/>
  <c r="N29" i="1" s="1"/>
  <c r="AQ31" i="1"/>
  <c r="AR31" i="1" s="1"/>
  <c r="AS31" i="1" s="1"/>
  <c r="AL31" i="1"/>
  <c r="AQ35" i="1"/>
  <c r="AL35" i="1"/>
  <c r="M30" i="1"/>
  <c r="K32" i="1"/>
  <c r="AT24" i="1"/>
  <c r="O64" i="1"/>
  <c r="M28" i="1"/>
  <c r="N28" i="1" s="1"/>
  <c r="AR13" i="1"/>
  <c r="AS13" i="1" s="1"/>
  <c r="AT13" i="1"/>
  <c r="M26" i="1"/>
  <c r="N26" i="1" s="1"/>
  <c r="AT15" i="1"/>
  <c r="O74" i="1"/>
  <c r="AQ22" i="1"/>
  <c r="AR22" i="1" s="1"/>
  <c r="AS22" i="1" s="1"/>
  <c r="AK38" i="1"/>
  <c r="AR12" i="1"/>
  <c r="AS12" i="1" s="1"/>
  <c r="AR11" i="1"/>
  <c r="AS11" i="1" s="1"/>
  <c r="AT40" i="1"/>
  <c r="AR35" i="1"/>
  <c r="AS35" i="1" s="1"/>
  <c r="O69" i="1"/>
  <c r="O70" i="1"/>
  <c r="O71" i="1"/>
  <c r="O72" i="1"/>
  <c r="O67" i="1"/>
  <c r="O68" i="1"/>
  <c r="AQ9" i="1"/>
  <c r="AR9" i="1" s="1"/>
  <c r="AS9" i="1" s="1"/>
  <c r="AQ10" i="1"/>
  <c r="AR10" i="1" s="1"/>
  <c r="AS10" i="1" s="1"/>
  <c r="AQ8" i="1"/>
  <c r="AR8" i="1" s="1"/>
  <c r="AS8" i="1" s="1"/>
  <c r="H9" i="1"/>
  <c r="AQ7" i="1"/>
  <c r="AR7" i="1" s="1"/>
  <c r="AS7" i="1" s="1"/>
  <c r="AR13" i="4" l="1"/>
  <c r="AS13" i="4" s="1"/>
  <c r="AS19" i="4" s="1"/>
  <c r="AR26" i="4"/>
  <c r="AS26" i="4" s="1"/>
  <c r="AT17" i="1"/>
  <c r="AQ28" i="1"/>
  <c r="AR28" i="1" s="1"/>
  <c r="AS28" i="1" s="1"/>
  <c r="AQ27" i="1"/>
  <c r="AR27" i="1" s="1"/>
  <c r="AS27" i="1" s="1"/>
  <c r="AQ26" i="1"/>
  <c r="AR26" i="1" s="1"/>
  <c r="AS26" i="1" s="1"/>
  <c r="AT19" i="4"/>
  <c r="AQ36" i="4"/>
  <c r="AR36" i="4" s="1"/>
  <c r="AS36" i="4" s="1"/>
  <c r="N36" i="4"/>
  <c r="Q31" i="4"/>
  <c r="AQ31" i="4"/>
  <c r="AR31" i="4" s="1"/>
  <c r="AS31" i="4" s="1"/>
  <c r="AT40" i="4"/>
  <c r="AQ29" i="1"/>
  <c r="AR29" i="1" s="1"/>
  <c r="AS29" i="1" s="1"/>
  <c r="AQ25" i="1"/>
  <c r="AR25" i="1" s="1"/>
  <c r="AS25" i="1" s="1"/>
  <c r="N25" i="1"/>
  <c r="N23" i="1"/>
  <c r="AQ23" i="1"/>
  <c r="AR23" i="1" s="1"/>
  <c r="AS23" i="1" s="1"/>
  <c r="N30" i="1"/>
  <c r="AQ30" i="1"/>
  <c r="AR30" i="1" s="1"/>
  <c r="AS30" i="1" s="1"/>
  <c r="AL38" i="1"/>
  <c r="AQ38" i="1"/>
  <c r="AR38" i="1" s="1"/>
  <c r="AS38" i="1" s="1"/>
  <c r="N24" i="1"/>
  <c r="AQ24" i="1"/>
  <c r="AR24" i="1" s="1"/>
  <c r="AS24" i="1" s="1"/>
  <c r="AS17" i="1"/>
  <c r="AS40" i="1" l="1"/>
  <c r="AS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Konstantins</author>
    <author>PackardBell</author>
    <author>Compaq</author>
    <author>Iveta</author>
  </authors>
  <commentList>
    <comment ref="O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27.04.2015. skaitītāja rādījums 7742,43 MWh</t>
        </r>
      </text>
    </comment>
    <comment ref="AA7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7793,61-7781,59</t>
        </r>
      </text>
    </comment>
    <comment ref="AD7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7807,20-7793,61</t>
        </r>
      </text>
    </comment>
    <comment ref="AG7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7834,01-7807,20</t>
        </r>
      </text>
    </comment>
    <comment ref="O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86"/>
          </rPr>
          <t xml:space="preserve">Atslēgta apkure 21.04.2015. skaitītāja rādījums 2469,91MWh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A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2476,92-2478,71</t>
        </r>
      </text>
    </comment>
    <comment ref="AD8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2480,72-2478,71</t>
        </r>
      </text>
    </comment>
    <comment ref="AG8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2488,85-2480,72</t>
        </r>
      </text>
    </comment>
    <comment ref="O9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86"/>
          </rPr>
          <t>Atslēgta apkure 27.04.2015. skaitītāja rādījums _____________MWh</t>
        </r>
      </text>
    </comment>
    <comment ref="AA9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4508,86-4502,06</t>
        </r>
      </text>
    </comment>
    <comment ref="AD9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4516,28-4508,86</t>
        </r>
      </text>
    </comment>
    <comment ref="AG9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4529,18-4516,28</t>
        </r>
      </text>
    </comment>
    <comment ref="O10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86"/>
          </rPr>
          <t>Atslēgta apkure 23.04.2015. skaitītāja rādījums 5524,18 MWh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A10" authorId="1" shapeId="0" xr:uid="{00000000-0006-0000-0000-00000E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5612,97-5593,18</t>
        </r>
      </text>
    </comment>
    <comment ref="AD10" authorId="2" shapeId="0" xr:uid="{00000000-0006-0000-0000-00000F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5634,62-5612,97
</t>
        </r>
      </text>
    </comment>
    <comment ref="AG10" authorId="2" shapeId="0" xr:uid="{00000000-0006-0000-0000-000010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5680,60-5634,62</t>
        </r>
      </text>
    </comment>
    <comment ref="O11" authorId="3" shapeId="0" xr:uid="{00000000-0006-0000-0000-000011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22.04.2014.</t>
        </r>
      </text>
    </comment>
    <comment ref="AG11" authorId="3" shapeId="0" xr:uid="{00000000-0006-0000-0000-000012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15.10.2014.</t>
        </r>
      </text>
    </comment>
    <comment ref="O12" authorId="3" shapeId="0" xr:uid="{00000000-0006-0000-0000-000013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22.05.2014.</t>
        </r>
      </text>
    </comment>
    <comment ref="AG12" authorId="3" shapeId="0" xr:uid="{00000000-0006-0000-0000-000014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15.10.2014.</t>
        </r>
      </text>
    </comment>
    <comment ref="O13" authorId="3" shapeId="0" xr:uid="{00000000-0006-0000-0000-000015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17.04.2014.</t>
        </r>
      </text>
    </comment>
    <comment ref="AG13" authorId="3" shapeId="0" xr:uid="{00000000-0006-0000-0000-000016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15.10.2014.</t>
        </r>
      </text>
    </comment>
    <comment ref="O14" authorId="3" shapeId="0" xr:uid="{00000000-0006-0000-0000-000017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22.04.2014.</t>
        </r>
      </text>
    </comment>
    <comment ref="AG14" authorId="3" shapeId="0" xr:uid="{00000000-0006-0000-0000-000018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15.10.2014.</t>
        </r>
      </text>
    </comment>
    <comment ref="O15" authorId="3" shapeId="0" xr:uid="{00000000-0006-0000-0000-000019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22.05.2014.</t>
        </r>
      </text>
    </comment>
    <comment ref="AG15" authorId="3" shapeId="0" xr:uid="{00000000-0006-0000-0000-00001A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15.10.2014.</t>
        </r>
      </text>
    </comment>
    <comment ref="O16" authorId="3" shapeId="0" xr:uid="{00000000-0006-0000-0000-00001B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30.04.2014.</t>
        </r>
      </text>
    </comment>
    <comment ref="AG16" authorId="3" shapeId="0" xr:uid="{00000000-0006-0000-0000-00001C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14.10.2014.</t>
        </r>
      </text>
    </comment>
    <comment ref="O17" authorId="3" shapeId="0" xr:uid="{00000000-0006-0000-0000-00001D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22.04.2014.</t>
        </r>
      </text>
    </comment>
    <comment ref="AG17" authorId="3" shapeId="0" xr:uid="{00000000-0006-0000-0000-00001E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15.10.2014.</t>
        </r>
      </text>
    </comment>
    <comment ref="U24" authorId="3" shapeId="0" xr:uid="{00000000-0006-0000-0000-00001F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02.06.2014.</t>
        </r>
      </text>
    </comment>
    <comment ref="AG24" authorId="3" shapeId="0" xr:uid="{00000000-0006-0000-0000-000020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pieslēgta 14.10.2014.</t>
        </r>
      </text>
    </comment>
    <comment ref="R25" authorId="3" shapeId="0" xr:uid="{00000000-0006-0000-0000-000021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10.05.2014.</t>
        </r>
      </text>
    </comment>
    <comment ref="AG25" authorId="3" shapeId="0" xr:uid="{00000000-0006-0000-0000-000022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pieslēgta 20.10.2014.</t>
        </r>
      </text>
    </comment>
    <comment ref="R26" authorId="3" shapeId="0" xr:uid="{00000000-0006-0000-0000-000023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12.05.2014.</t>
        </r>
      </text>
    </comment>
    <comment ref="AG26" authorId="3" shapeId="0" xr:uid="{00000000-0006-0000-0000-000024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15.10.2014.</t>
        </r>
      </text>
    </comment>
    <comment ref="O27" authorId="3" shapeId="0" xr:uid="{00000000-0006-0000-0000-000025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28.04.2014.</t>
        </r>
      </text>
    </comment>
    <comment ref="AG27" authorId="3" shapeId="0" xr:uid="{00000000-0006-0000-0000-000026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15.10.2014.</t>
        </r>
      </text>
    </comment>
    <comment ref="R28" authorId="3" shapeId="0" xr:uid="{00000000-0006-0000-0000-000027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31.05.2014.</t>
        </r>
      </text>
    </comment>
    <comment ref="AG28" authorId="3" shapeId="0" xr:uid="{00000000-0006-0000-0000-000028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pieslēgta 06.10.2014.</t>
        </r>
      </text>
    </comment>
    <comment ref="R29" authorId="3" shapeId="0" xr:uid="{00000000-0006-0000-0000-000029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20.05.2014.</t>
        </r>
      </text>
    </comment>
    <comment ref="AG29" authorId="3" shapeId="0" xr:uid="{00000000-0006-0000-0000-00002A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pieslēgta 02.10.14.</t>
        </r>
      </text>
    </comment>
    <comment ref="R30" authorId="3" shapeId="0" xr:uid="{00000000-0006-0000-0000-00002B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22.05.2014.</t>
        </r>
      </text>
    </comment>
    <comment ref="AG30" authorId="3" shapeId="0" xr:uid="{00000000-0006-0000-0000-00002C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pieslēgta 13.10.2014.</t>
        </r>
      </text>
    </comment>
    <comment ref="R31" authorId="3" shapeId="0" xr:uid="{00000000-0006-0000-0000-00002D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22.05.2014.</t>
        </r>
      </text>
    </comment>
    <comment ref="AG31" authorId="3" shapeId="0" xr:uid="{00000000-0006-0000-0000-00002E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pieslēgta 01.10.14.</t>
        </r>
      </text>
    </comment>
    <comment ref="R32" authorId="3" shapeId="0" xr:uid="{00000000-0006-0000-0000-00002F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31.05.2014.</t>
        </r>
      </text>
    </comment>
    <comment ref="AG32" authorId="3" shapeId="0" xr:uid="{00000000-0006-0000-0000-000030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13.10.2014.</t>
        </r>
      </text>
    </comment>
    <comment ref="O33" authorId="3" shapeId="0" xr:uid="{00000000-0006-0000-0000-000031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30.04.2014.</t>
        </r>
      </text>
    </comment>
    <comment ref="AG33" authorId="3" shapeId="0" xr:uid="{00000000-0006-0000-0000-000032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pieslēgta 06.10.2014.</t>
        </r>
      </text>
    </comment>
    <comment ref="R34" authorId="3" shapeId="0" xr:uid="{00000000-0006-0000-0000-000033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20.05.2014.</t>
        </r>
      </text>
    </comment>
    <comment ref="AG34" authorId="3" shapeId="0" xr:uid="{00000000-0006-0000-0000-000034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15.10.2014.</t>
        </r>
      </text>
    </comment>
    <comment ref="O35" authorId="3" shapeId="0" xr:uid="{00000000-0006-0000-0000-000035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22.04.2014.</t>
        </r>
      </text>
    </comment>
    <comment ref="AG35" authorId="3" shapeId="0" xr:uid="{00000000-0006-0000-0000-000036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pieslēgta 02.10.14.</t>
        </r>
      </text>
    </comment>
    <comment ref="O36" authorId="3" shapeId="0" xr:uid="{00000000-0006-0000-0000-000037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30.04.2014.</t>
        </r>
      </text>
    </comment>
    <comment ref="AG36" authorId="3" shapeId="0" xr:uid="{00000000-0006-0000-0000-000038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08.10.2014. pieslēgta apkure</t>
        </r>
      </text>
    </comment>
    <comment ref="O37" authorId="3" shapeId="0" xr:uid="{00000000-0006-0000-0000-000039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22.04.2014.</t>
        </r>
      </text>
    </comment>
    <comment ref="AG37" authorId="3" shapeId="0" xr:uid="{00000000-0006-0000-0000-00003A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pieslēgta 17.10.14.</t>
        </r>
      </text>
    </comment>
    <comment ref="O38" authorId="3" shapeId="0" xr:uid="{00000000-0006-0000-0000-00003B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22.04.2014.</t>
        </r>
      </text>
    </comment>
    <comment ref="AG38" authorId="3" shapeId="0" xr:uid="{00000000-0006-0000-0000-00003C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21.10.14.</t>
        </r>
      </text>
    </comment>
    <comment ref="O39" authorId="3" shapeId="0" xr:uid="{00000000-0006-0000-0000-00003D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Apkure atslēgta 22.04.2014.</t>
        </r>
      </text>
    </comment>
    <comment ref="AG39" authorId="3" shapeId="0" xr:uid="{00000000-0006-0000-0000-00003E000000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21.10.14.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Konstantins</author>
    <author>PackardBell</author>
    <author>Compaq</author>
  </authors>
  <commentList>
    <comment ref="O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27.04.2015. skaitītāja rādījums 7742,43 MWh</t>
        </r>
      </text>
    </comment>
    <comment ref="AA7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7793,61-7781,59</t>
        </r>
      </text>
    </comment>
    <comment ref="AD7" authorId="2" shapeId="0" xr:uid="{00000000-0006-0000-0100-00000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7807,20-7793,61</t>
        </r>
      </text>
    </comment>
    <comment ref="AG7" authorId="2" shapeId="0" xr:uid="{00000000-0006-0000-0100-00000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7834,01-7807,20</t>
        </r>
      </text>
    </comment>
    <comment ref="O8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86"/>
          </rPr>
          <t xml:space="preserve">Atslēgta apkure 21.04.2015. skaitītāja rādījums 2469,91MWh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A8" authorId="1" shapeId="0" xr:uid="{00000000-0006-0000-0100-000006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2476,92-2478,71</t>
        </r>
      </text>
    </comment>
    <comment ref="AD8" authorId="2" shapeId="0" xr:uid="{00000000-0006-0000-0100-00000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2480,72-2478,71</t>
        </r>
      </text>
    </comment>
    <comment ref="AG8" authorId="2" shapeId="0" xr:uid="{00000000-0006-0000-0100-000008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2488,85-2480,72</t>
        </r>
      </text>
    </comment>
    <comment ref="O9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186"/>
          </rPr>
          <t>Atslēgta apkure 27.04.2015. skaitītāja rādījums _____________MWh</t>
        </r>
      </text>
    </comment>
    <comment ref="AA9" authorId="1" shapeId="0" xr:uid="{00000000-0006-0000-0100-00000A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4508,86-4502,06</t>
        </r>
      </text>
    </comment>
    <comment ref="AD9" authorId="2" shapeId="0" xr:uid="{00000000-0006-0000-0100-00000B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4516,28-4508,86</t>
        </r>
      </text>
    </comment>
    <comment ref="AG9" authorId="2" shapeId="0" xr:uid="{00000000-0006-0000-0100-00000C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4529,18-4516,28</t>
        </r>
      </text>
    </comment>
    <comment ref="O10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186"/>
          </rPr>
          <t>Atslēgta apkure 23.04.2015. skaitītāja rādījums 5524,18 MWh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A10" authorId="1" shapeId="0" xr:uid="{00000000-0006-0000-0100-00000E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5612,97-5593,18</t>
        </r>
      </text>
    </comment>
    <comment ref="AD10" authorId="2" shapeId="0" xr:uid="{00000000-0006-0000-0100-00000F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5634,62-5612,97
</t>
        </r>
      </text>
    </comment>
    <comment ref="AG10" authorId="2" shapeId="0" xr:uid="{00000000-0006-0000-0100-000010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5680,60-5634,62</t>
        </r>
      </text>
    </comment>
    <comment ref="O11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186"/>
          </rPr>
          <t xml:space="preserve">Atslēgta apkure 24.04.2015. skaitītāja rādījums 335,77 MWh
</t>
        </r>
      </text>
    </comment>
    <comment ref="AG11" authorId="2" shapeId="0" xr:uid="{00000000-0006-0000-0100-000012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343,54-336,17</t>
        </r>
      </text>
    </comment>
    <comment ref="AJ11" authorId="2" shapeId="0" xr:uid="{00000000-0006-0000-0100-00001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348,59-348,34</t>
        </r>
      </text>
    </comment>
    <comment ref="AG12" authorId="2" shapeId="0" xr:uid="{00000000-0006-0000-0100-00001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pag. Gada raad.</t>
        </r>
      </text>
    </comment>
    <comment ref="AJ12" authorId="2" shapeId="0" xr:uid="{00000000-0006-0000-0100-000015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4199,94-4174,30</t>
        </r>
      </text>
    </comment>
    <comment ref="O13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186"/>
          </rPr>
          <t>Atslēgta apkure 24.04.2015. skaitītāja rādījums 228,69 MWh</t>
        </r>
      </text>
    </comment>
    <comment ref="AG13" authorId="2" shapeId="0" xr:uid="{00000000-0006-0000-0100-00001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238,67-229,06</t>
        </r>
      </text>
    </comment>
    <comment ref="AJ13" authorId="2" shapeId="0" xr:uid="{00000000-0006-0000-0100-000018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252,68-238,67</t>
        </r>
      </text>
    </comment>
    <comment ref="O14" authorId="0" shapeId="0" xr:uid="{00000000-0006-0000-0100-000019000000}">
      <text>
        <r>
          <rPr>
            <sz val="9"/>
            <color indexed="81"/>
            <rFont val="Tahoma"/>
            <family val="2"/>
            <charset val="186"/>
          </rPr>
          <t>Atslēgta apkure 24.04.2015. skaitītāja rādījums 530,24 MWh</t>
        </r>
      </text>
    </comment>
    <comment ref="AG14" authorId="2" shapeId="0" xr:uid="{00000000-0006-0000-0100-00001A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541,58-530,34</t>
        </r>
      </text>
    </comment>
    <comment ref="AJ14" authorId="2" shapeId="0" xr:uid="{00000000-0006-0000-0100-00001B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558,89-541,58</t>
        </r>
      </text>
    </comment>
    <comment ref="O15" authorId="0" shapeId="0" xr:uid="{00000000-0006-0000-0100-00001C000000}">
      <text>
        <r>
          <rPr>
            <b/>
            <sz val="9"/>
            <color indexed="81"/>
            <rFont val="Tahoma"/>
            <family val="2"/>
            <charset val="186"/>
          </rPr>
          <t xml:space="preserve">Atslēgta apkure 24.04.2015. skaitītāja rādījums 278,14 MWh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G15" authorId="2" shapeId="0" xr:uid="{00000000-0006-0000-0100-00001D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280,50-278,6</t>
        </r>
      </text>
    </comment>
    <comment ref="AJ15" authorId="2" shapeId="0" xr:uid="{00000000-0006-0000-0100-00001E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283,62-280,50</t>
        </r>
      </text>
    </comment>
    <comment ref="I16" authorId="0" shapeId="0" xr:uid="{00000000-0006-0000-0100-00001F000000}">
      <text>
        <r>
          <rPr>
            <b/>
            <sz val="9"/>
            <color indexed="81"/>
            <rFont val="Tahoma"/>
            <family val="2"/>
            <charset val="186"/>
          </rPr>
          <t>Konstantins: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O22" authorId="0" shapeId="0" xr:uid="{00000000-0006-0000-0100-000020000000}">
      <text>
        <r>
          <rPr>
            <b/>
            <sz val="9"/>
            <color indexed="81"/>
            <rFont val="Tahoma"/>
            <family val="2"/>
            <charset val="186"/>
          </rPr>
          <t>Atslēgta apkure 29.04.2015. skaitītāja rādījums 1619,38 MWh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A22" authorId="1" shapeId="0" xr:uid="{00000000-0006-0000-0100-000021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1641,37-1636,24</t>
        </r>
      </text>
    </comment>
    <comment ref="AD22" authorId="2" shapeId="0" xr:uid="{00000000-0006-0000-0100-000022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1646,49-1641,37</t>
        </r>
      </text>
    </comment>
    <comment ref="AG22" authorId="2" shapeId="0" xr:uid="{00000000-0006-0000-0100-00002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1656,60-1646,49</t>
        </r>
      </text>
    </comment>
    <comment ref="AJ22" authorId="2" shapeId="0" xr:uid="{00000000-0006-0000-0100-00002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1671,08-1656,60</t>
        </r>
      </text>
    </comment>
    <comment ref="O23" authorId="0" shapeId="0" xr:uid="{00000000-0006-0000-0100-000025000000}">
      <text>
        <r>
          <rPr>
            <b/>
            <sz val="9"/>
            <color indexed="81"/>
            <rFont val="Tahoma"/>
            <family val="2"/>
            <charset val="186"/>
          </rPr>
          <t>Atslēgta apkure 05.05.2015. skaitītāja rādījums ___________MWh</t>
        </r>
      </text>
    </comment>
    <comment ref="AA23" authorId="1" shapeId="0" xr:uid="{00000000-0006-0000-0100-000026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1256,46-1253,48</t>
        </r>
      </text>
    </comment>
    <comment ref="AD23" authorId="2" shapeId="0" xr:uid="{00000000-0006-0000-0100-00002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1259,67-1256,46</t>
        </r>
      </text>
    </comment>
    <comment ref="AG23" authorId="2" shapeId="0" xr:uid="{00000000-0006-0000-0100-000028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1268,51-1259,67</t>
        </r>
      </text>
    </comment>
    <comment ref="O24" authorId="0" shapeId="0" xr:uid="{00000000-0006-0000-0100-000029000000}">
      <text>
        <r>
          <rPr>
            <b/>
            <sz val="9"/>
            <color indexed="81"/>
            <rFont val="Tahoma"/>
            <family val="2"/>
            <charset val="186"/>
          </rPr>
          <t>Atslēgta apkure 13.05.2015. skaitītāja rādījums 1607,52 MWh</t>
        </r>
      </text>
    </comment>
    <comment ref="AA24" authorId="1" shapeId="0" xr:uid="{00000000-0006-0000-0100-00002A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1627,31-1622,09</t>
        </r>
      </text>
    </comment>
    <comment ref="AD24" authorId="2" shapeId="0" xr:uid="{00000000-0006-0000-0100-00002B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1632,62-1627,31</t>
        </r>
      </text>
    </comment>
    <comment ref="AG24" authorId="2" shapeId="0" xr:uid="{00000000-0006-0000-0100-00002C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1640,32-1632,62</t>
        </r>
      </text>
    </comment>
    <comment ref="O25" authorId="0" shapeId="0" xr:uid="{00000000-0006-0000-0100-00002D000000}">
      <text>
        <r>
          <rPr>
            <b/>
            <sz val="9"/>
            <color indexed="81"/>
            <rFont val="Tahoma"/>
            <family val="2"/>
            <charset val="186"/>
          </rPr>
          <t>Atslēgta apkure 05.05.2015. skaitītāja rādījums 1244,77 MWh</t>
        </r>
      </text>
    </comment>
    <comment ref="AA25" authorId="1" shapeId="0" xr:uid="{00000000-0006-0000-0100-00002E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1106,78-1104,58</t>
        </r>
      </text>
    </comment>
    <comment ref="AD25" authorId="2" shapeId="0" xr:uid="{00000000-0006-0000-0100-00002F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1109,15-1106,78</t>
        </r>
      </text>
    </comment>
    <comment ref="AG25" authorId="2" shapeId="0" xr:uid="{00000000-0006-0000-0100-000030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1114,72-1109,15</t>
        </r>
      </text>
    </comment>
    <comment ref="O26" authorId="0" shapeId="0" xr:uid="{00000000-0006-0000-0100-000031000000}">
      <text>
        <r>
          <rPr>
            <b/>
            <sz val="9"/>
            <color indexed="81"/>
            <rFont val="Tahoma"/>
            <family val="2"/>
            <charset val="186"/>
          </rPr>
          <t>Atslēgta apkure 18.05.2015. skaitītāja rādījums 726,73 MWh</t>
        </r>
      </text>
    </comment>
    <comment ref="AA26" authorId="1" shapeId="0" xr:uid="{00000000-0006-0000-0100-000032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735,10-732,67</t>
        </r>
      </text>
    </comment>
    <comment ref="AD26" authorId="2" shapeId="0" xr:uid="{00000000-0006-0000-0100-00003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737,66-735,10</t>
        </r>
      </text>
    </comment>
    <comment ref="AG26" authorId="2" shapeId="0" xr:uid="{00000000-0006-0000-0100-00003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743,69-737,66</t>
        </r>
      </text>
    </comment>
    <comment ref="O27" authorId="0" shapeId="0" xr:uid="{00000000-0006-0000-0100-000035000000}">
      <text>
        <r>
          <rPr>
            <b/>
            <sz val="9"/>
            <color indexed="81"/>
            <rFont val="Tahoma"/>
            <family val="2"/>
            <charset val="186"/>
          </rPr>
          <t>Atslēgta apkure 27.04.2015. skaitītāja rādījums 2383,68 MWh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A27" authorId="1" shapeId="0" xr:uid="{00000000-0006-0000-0100-000036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2408,50-2402,55</t>
        </r>
      </text>
    </comment>
    <comment ref="AD27" authorId="2" shapeId="0" xr:uid="{00000000-0006-0000-0100-00003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2414,38-2408,50</t>
        </r>
      </text>
    </comment>
    <comment ref="AG27" authorId="2" shapeId="0" xr:uid="{00000000-0006-0000-0100-000038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2426,48-2414,38</t>
        </r>
      </text>
    </comment>
    <comment ref="O28" authorId="0" shapeId="0" xr:uid="{00000000-0006-0000-0100-000039000000}">
      <text>
        <r>
          <rPr>
            <b/>
            <sz val="9"/>
            <color indexed="81"/>
            <rFont val="Tahoma"/>
            <family val="2"/>
            <charset val="186"/>
          </rPr>
          <t>Apkure atlēgta 07.05.2015. siltumskaitītāja rādījums 938,68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A28" authorId="1" shapeId="0" xr:uid="{00000000-0006-0000-0100-00003A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949,54-946,56</t>
        </r>
      </text>
    </comment>
    <comment ref="AD28" authorId="2" shapeId="0" xr:uid="{00000000-0006-0000-0100-00003B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952,25-949,54</t>
        </r>
      </text>
    </comment>
    <comment ref="AG28" authorId="2" shapeId="0" xr:uid="{00000000-0006-0000-0100-00003C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958,65-952,25</t>
        </r>
      </text>
    </comment>
    <comment ref="O29" authorId="0" shapeId="0" xr:uid="{00000000-0006-0000-0100-00003D000000}">
      <text>
        <r>
          <rPr>
            <b/>
            <sz val="9"/>
            <color indexed="81"/>
            <rFont val="Tahoma"/>
            <family val="2"/>
            <charset val="186"/>
          </rPr>
          <t>Atslēgta apkure 08.05.2015. skaitītāja rādījums 926,46</t>
        </r>
      </text>
    </comment>
    <comment ref="AA29" authorId="1" shapeId="0" xr:uid="{00000000-0006-0000-0100-00003E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933,68-931,77</t>
        </r>
      </text>
    </comment>
    <comment ref="AD29" authorId="2" shapeId="0" xr:uid="{00000000-0006-0000-0100-00003F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935,75-933,68</t>
        </r>
      </text>
    </comment>
    <comment ref="AG29" authorId="2" shapeId="0" xr:uid="{00000000-0006-0000-0100-000040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942,26-935,75</t>
        </r>
      </text>
    </comment>
    <comment ref="O30" authorId="0" shapeId="0" xr:uid="{00000000-0006-0000-0100-000041000000}">
      <text>
        <r>
          <rPr>
            <b/>
            <sz val="9"/>
            <color indexed="81"/>
            <rFont val="Tahoma"/>
            <family val="2"/>
            <charset val="186"/>
          </rPr>
          <t>Atslēgta apkure 21.05.2015. skaitītāja rādījums 1636,27</t>
        </r>
      </text>
    </comment>
    <comment ref="AA30" authorId="1" shapeId="0" xr:uid="{00000000-0006-0000-0100-000042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1656,46-1650,38</t>
        </r>
      </text>
    </comment>
    <comment ref="AD30" authorId="2" shapeId="0" xr:uid="{00000000-0006-0000-0100-00004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1662,57-1656,46</t>
        </r>
      </text>
    </comment>
    <comment ref="AG30" authorId="2" shapeId="0" xr:uid="{00000000-0006-0000-0100-00004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1673,65-1662,57</t>
        </r>
      </text>
    </comment>
    <comment ref="O31" authorId="0" shapeId="0" xr:uid="{00000000-0006-0000-0100-000045000000}">
      <text>
        <r>
          <rPr>
            <b/>
            <sz val="9"/>
            <color indexed="81"/>
            <rFont val="Tahoma"/>
            <family val="2"/>
            <charset val="186"/>
          </rPr>
          <t>Atslēgta apkure 30.04.2015. skaitītāja rādījums 4346,70 MWh</t>
        </r>
      </text>
    </comment>
    <comment ref="AA31" authorId="1" shapeId="0" xr:uid="{00000000-0006-0000-0100-000046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4370,34-4364,65</t>
        </r>
      </text>
    </comment>
    <comment ref="AD31" authorId="2" shapeId="0" xr:uid="{00000000-0006-0000-0100-00004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4376,19-4370,34</t>
        </r>
      </text>
    </comment>
    <comment ref="AG31" authorId="2" shapeId="0" xr:uid="{00000000-0006-0000-0100-000048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4384,63-4376,19</t>
        </r>
      </text>
    </comment>
    <comment ref="O32" authorId="0" shapeId="0" xr:uid="{00000000-0006-0000-0100-000049000000}">
      <text>
        <r>
          <rPr>
            <b/>
            <sz val="9"/>
            <color indexed="81"/>
            <rFont val="Tahoma"/>
            <family val="2"/>
            <charset val="186"/>
          </rPr>
          <t>Atslēgta apkure 29.04.2015. skaitītāja rādījums 4532,53 MWh</t>
        </r>
      </text>
    </comment>
    <comment ref="AA32" authorId="1" shapeId="0" xr:uid="{00000000-0006-0000-0100-00004A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4571,76-4561,87</t>
        </r>
      </text>
    </comment>
    <comment ref="AD32" authorId="2" shapeId="0" xr:uid="{00000000-0006-0000-0100-00004B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4580,87-4571,76</t>
        </r>
      </text>
    </comment>
    <comment ref="AG32" authorId="2" shapeId="0" xr:uid="{00000000-0006-0000-0100-00004C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4597,91-4580,87</t>
        </r>
      </text>
    </comment>
    <comment ref="O33" authorId="0" shapeId="0" xr:uid="{00000000-0006-0000-0100-00004D000000}">
      <text>
        <r>
          <rPr>
            <b/>
            <sz val="9"/>
            <color indexed="81"/>
            <rFont val="Tahoma"/>
            <family val="2"/>
            <charset val="186"/>
          </rPr>
          <t>Atslēgta apkure 21.04.2015.- skaitītāja rādījums 3691,49</t>
        </r>
      </text>
    </comment>
    <comment ref="AA33" authorId="1" shapeId="0" xr:uid="{00000000-0006-0000-0100-00004E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3744,02-3735,58</t>
        </r>
      </text>
    </comment>
    <comment ref="AD33" authorId="2" shapeId="0" xr:uid="{00000000-0006-0000-0100-00004F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3753,17-3744,02</t>
        </r>
      </text>
    </comment>
    <comment ref="AG33" authorId="2" shapeId="0" xr:uid="{00000000-0006-0000-0100-000050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3770,15</t>
        </r>
      </text>
    </comment>
    <comment ref="O34" authorId="0" shapeId="0" xr:uid="{00000000-0006-0000-0100-000051000000}">
      <text>
        <r>
          <rPr>
            <b/>
            <sz val="9"/>
            <color indexed="81"/>
            <rFont val="Tahoma"/>
            <family val="2"/>
            <charset val="186"/>
          </rPr>
          <t>Atslēgta apkure 29.04.2015. skaitītāja rādījums 964,77MWh</t>
        </r>
      </text>
    </comment>
    <comment ref="AA34" authorId="1" shapeId="0" xr:uid="{00000000-0006-0000-0100-000052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974,71-972,19</t>
        </r>
      </text>
    </comment>
    <comment ref="AD34" authorId="2" shapeId="0" xr:uid="{00000000-0006-0000-0100-00005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977,52-974,71
</t>
        </r>
      </text>
    </comment>
    <comment ref="AG34" authorId="2" shapeId="0" xr:uid="{00000000-0006-0000-0100-00005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983,40-977,52</t>
        </r>
      </text>
    </comment>
    <comment ref="O35" authorId="0" shapeId="0" xr:uid="{00000000-0006-0000-0100-000055000000}">
      <text>
        <r>
          <rPr>
            <b/>
            <sz val="9"/>
            <color indexed="81"/>
            <rFont val="Tahoma"/>
            <family val="2"/>
            <charset val="186"/>
          </rPr>
          <t xml:space="preserve">Atslēgta apkure 29.04.2015. skaitītāja rādījums __________ MWh
</t>
        </r>
      </text>
    </comment>
    <comment ref="AA35" authorId="1" shapeId="0" xr:uid="{00000000-0006-0000-0100-000056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565,11-561,92</t>
        </r>
      </text>
    </comment>
    <comment ref="AD35" authorId="2" shapeId="0" xr:uid="{00000000-0006-0000-0100-00005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568,22-565,11</t>
        </r>
      </text>
    </comment>
    <comment ref="AG35" authorId="2" shapeId="0" xr:uid="{00000000-0006-0000-0100-000058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577,10-568,22</t>
        </r>
      </text>
    </comment>
    <comment ref="AA36" authorId="1" shapeId="0" xr:uid="{00000000-0006-0000-0100-000059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1456,52-1452,81</t>
        </r>
      </text>
    </comment>
    <comment ref="AD36" authorId="2" shapeId="0" xr:uid="{00000000-0006-0000-0100-00005A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1460,20-1456,52</t>
        </r>
      </text>
    </comment>
    <comment ref="AG36" authorId="2" shapeId="0" xr:uid="{00000000-0006-0000-0100-00005B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1467,94-1460,20</t>
        </r>
      </text>
    </comment>
    <comment ref="O37" authorId="0" shapeId="0" xr:uid="{00000000-0006-0000-0100-00005C000000}">
      <text>
        <r>
          <rPr>
            <b/>
            <sz val="9"/>
            <color indexed="81"/>
            <rFont val="Tahoma"/>
            <family val="2"/>
            <charset val="186"/>
          </rPr>
          <t>Paši atslēguši apkuri 05.05.2015.</t>
        </r>
      </text>
    </comment>
    <comment ref="O38" authorId="0" shapeId="0" xr:uid="{00000000-0006-0000-0100-00005D000000}">
      <text>
        <r>
          <rPr>
            <b/>
            <sz val="9"/>
            <color indexed="81"/>
            <rFont val="Tahoma"/>
            <family val="2"/>
            <charset val="186"/>
          </rPr>
          <t>Paši atslēguši apkuri 05.05.2015.</t>
        </r>
      </text>
    </comment>
    <comment ref="O39" authorId="0" shapeId="0" xr:uid="{00000000-0006-0000-0100-00005E000000}">
      <text>
        <r>
          <rPr>
            <b/>
            <sz val="9"/>
            <color indexed="81"/>
            <rFont val="Tahoma"/>
            <family val="2"/>
            <charset val="186"/>
          </rPr>
          <t>Paši atslēguši apkuri 05.05.2015.</t>
        </r>
      </text>
    </comment>
    <comment ref="J52" authorId="1" shapeId="0" xr:uid="{00000000-0006-0000-0100-00005F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1457,01-1336,86</t>
        </r>
      </text>
    </comment>
    <comment ref="K52" authorId="2" shapeId="0" xr:uid="{00000000-0006-0000-0100-000060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1586,72-1457,01</t>
        </r>
      </text>
    </comment>
    <comment ref="L52" authorId="2" shapeId="0" xr:uid="{00000000-0006-0000-0100-000061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1736,37-1586,72
</t>
        </r>
      </text>
    </comment>
    <comment ref="J53" authorId="1" shapeId="0" xr:uid="{00000000-0006-0000-0100-000062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120,12-91,91</t>
        </r>
      </text>
    </comment>
    <comment ref="K53" authorId="2" shapeId="0" xr:uid="{00000000-0006-0000-0100-00006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149,38-120,12</t>
        </r>
      </text>
    </comment>
    <comment ref="L53" authorId="2" shapeId="0" xr:uid="{00000000-0006-0000-0100-00006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179,29-149,38</t>
        </r>
      </text>
    </comment>
    <comment ref="J54" authorId="1" shapeId="0" xr:uid="{00000000-0006-0000-0100-000065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312,33-277,00</t>
        </r>
      </text>
    </comment>
    <comment ref="K54" authorId="2" shapeId="0" xr:uid="{00000000-0006-0000-0100-000066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355,94-312,33</t>
        </r>
      </text>
    </comment>
    <comment ref="L54" authorId="2" shapeId="0" xr:uid="{00000000-0006-0000-0100-00006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398,00-355,94</t>
        </r>
      </text>
    </comment>
    <comment ref="J55" authorId="1" shapeId="0" xr:uid="{00000000-0006-0000-0100-000068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792,21-700,86</t>
        </r>
      </text>
    </comment>
    <comment ref="K55" authorId="2" shapeId="0" xr:uid="{00000000-0006-0000-0100-000069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910,25-792,21</t>
        </r>
      </text>
    </comment>
    <comment ref="L55" authorId="2" shapeId="0" xr:uid="{00000000-0006-0000-0100-00006A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1041,96-910,25</t>
        </r>
      </text>
    </comment>
    <comment ref="J58" authorId="1" shapeId="0" xr:uid="{00000000-0006-0000-0100-00006B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1556,41-1518,88</t>
        </r>
      </text>
    </comment>
    <comment ref="K58" authorId="2" shapeId="0" xr:uid="{00000000-0006-0000-0100-00006C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1593,61-1556,41</t>
        </r>
      </text>
    </comment>
    <comment ref="L58" authorId="2" shapeId="0" xr:uid="{00000000-0006-0000-0100-00006D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1635,31-1593,61</t>
        </r>
      </text>
    </comment>
    <comment ref="M58" authorId="2" shapeId="0" xr:uid="{00000000-0006-0000-0100-00006E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1680,66-1635,31</t>
        </r>
      </text>
    </comment>
    <comment ref="J59" authorId="1" shapeId="0" xr:uid="{00000000-0006-0000-0100-00006F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517,33-475,91</t>
        </r>
      </text>
    </comment>
    <comment ref="K59" authorId="2" shapeId="0" xr:uid="{00000000-0006-0000-0100-000070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564,09-517,33
</t>
        </r>
      </text>
    </comment>
    <comment ref="L59" authorId="2" shapeId="0" xr:uid="{00000000-0006-0000-0100-000071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610,14-564,09</t>
        </r>
      </text>
    </comment>
    <comment ref="J60" authorId="1" shapeId="0" xr:uid="{00000000-0006-0000-0100-000072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156,63-109,79</t>
        </r>
      </text>
    </comment>
    <comment ref="K60" authorId="2" shapeId="0" xr:uid="{00000000-0006-0000-0100-00007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209,46-156,63</t>
        </r>
      </text>
    </comment>
    <comment ref="L60" authorId="2" shapeId="0" xr:uid="{00000000-0006-0000-0100-00007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266,68-209,46</t>
        </r>
      </text>
    </comment>
    <comment ref="J61" authorId="1" shapeId="0" xr:uid="{00000000-0006-0000-0100-000075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184,00-157,91</t>
        </r>
      </text>
    </comment>
    <comment ref="L61" authorId="2" shapeId="0" xr:uid="{00000000-0006-0000-0100-000076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240,91-212,51</t>
        </r>
      </text>
    </comment>
    <comment ref="J62" authorId="1" shapeId="0" xr:uid="{00000000-0006-0000-0100-000077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1865,54-1829,35
</t>
        </r>
      </text>
    </comment>
    <comment ref="K62" authorId="2" shapeId="0" xr:uid="{00000000-0006-0000-0100-000078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1907,77-1865,54</t>
        </r>
      </text>
    </comment>
    <comment ref="L62" authorId="2" shapeId="0" xr:uid="{00000000-0006-0000-0100-000079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1951,49-1907,77</t>
        </r>
      </text>
    </comment>
    <comment ref="J63" authorId="1" shapeId="0" xr:uid="{00000000-0006-0000-0100-00007A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704,44-647,54</t>
        </r>
      </text>
    </comment>
    <comment ref="K63" authorId="2" shapeId="0" xr:uid="{00000000-0006-0000-0100-00007B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760,69-704,44</t>
        </r>
      </text>
    </comment>
    <comment ref="L63" authorId="2" shapeId="0" xr:uid="{00000000-0006-0000-0100-00007C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822,13-760,69</t>
        </r>
      </text>
    </comment>
    <comment ref="J64" authorId="1" shapeId="0" xr:uid="{00000000-0006-0000-0100-00007D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116,69-81,42</t>
        </r>
      </text>
    </comment>
    <comment ref="K64" authorId="2" shapeId="0" xr:uid="{00000000-0006-0000-0100-00007E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150,38-116,69
</t>
        </r>
      </text>
    </comment>
    <comment ref="L64" authorId="2" shapeId="0" xr:uid="{00000000-0006-0000-0100-00007F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188,96-150,38</t>
        </r>
      </text>
    </comment>
    <comment ref="J65" authorId="1" shapeId="0" xr:uid="{00000000-0006-0000-0100-000080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719,40-678,96</t>
        </r>
      </text>
    </comment>
    <comment ref="K65" authorId="2" shapeId="0" xr:uid="{00000000-0006-0000-0100-000081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764,29-719,40</t>
        </r>
      </text>
    </comment>
    <comment ref="L65" authorId="2" shapeId="0" xr:uid="{00000000-0006-0000-0100-000082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805,14-764,29</t>
        </r>
      </text>
    </comment>
    <comment ref="K66" authorId="2" shapeId="0" xr:uid="{00000000-0006-0000-0100-000083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205,97-155,77</t>
        </r>
      </text>
    </comment>
    <comment ref="L66" authorId="2" shapeId="0" xr:uid="{00000000-0006-0000-0100-00008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261,34-205,97</t>
        </r>
      </text>
    </comment>
    <comment ref="J67" authorId="1" shapeId="0" xr:uid="{00000000-0006-0000-0100-000085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954,42-895,99</t>
        </r>
      </text>
    </comment>
    <comment ref="K67" authorId="2" shapeId="0" xr:uid="{00000000-0006-0000-0100-000086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1017,55-954,42</t>
        </r>
      </text>
    </comment>
    <comment ref="L67" authorId="2" shapeId="0" xr:uid="{00000000-0006-0000-0100-00008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1074,94-1017,55</t>
        </r>
      </text>
    </comment>
    <comment ref="J68" authorId="1" shapeId="0" xr:uid="{00000000-0006-0000-0100-000088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391-295,62</t>
        </r>
      </text>
    </comment>
    <comment ref="K68" authorId="2" shapeId="0" xr:uid="{00000000-0006-0000-0100-000089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482,00-391,00</t>
        </r>
      </text>
    </comment>
    <comment ref="L68" authorId="2" shapeId="0" xr:uid="{00000000-0006-0000-0100-00008A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574,38-482,00</t>
        </r>
      </text>
    </comment>
    <comment ref="J69" authorId="1" shapeId="0" xr:uid="{00000000-0006-0000-0100-00008B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37055,99-36989,71</t>
        </r>
      </text>
    </comment>
    <comment ref="K69" authorId="2" shapeId="0" xr:uid="{00000000-0006-0000-0100-00008C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37127,27-37055,99</t>
        </r>
      </text>
    </comment>
    <comment ref="L69" authorId="2" shapeId="0" xr:uid="{00000000-0006-0000-0100-00008D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37197,30-37127,27</t>
        </r>
      </text>
    </comment>
    <comment ref="K70" authorId="2" shapeId="0" xr:uid="{00000000-0006-0000-0100-00008E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204,69-159,28</t>
        </r>
      </text>
    </comment>
    <comment ref="L70" authorId="2" shapeId="0" xr:uid="{00000000-0006-0000-0100-00008F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249,26-204,69</t>
        </r>
      </text>
    </comment>
    <comment ref="J71" authorId="1" shapeId="0" xr:uid="{00000000-0006-0000-0100-000090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13638,78-13559,69</t>
        </r>
      </text>
    </comment>
    <comment ref="K71" authorId="2" shapeId="0" xr:uid="{00000000-0006-0000-0100-000091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13712,79-13638,78</t>
        </r>
      </text>
    </comment>
    <comment ref="L71" authorId="2" shapeId="0" xr:uid="{00000000-0006-0000-0100-000092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13786,65-13712,79</t>
        </r>
      </text>
    </comment>
    <comment ref="J72" authorId="1" shapeId="0" xr:uid="{00000000-0006-0000-0100-000093000000}">
      <text>
        <r>
          <rPr>
            <b/>
            <sz val="9"/>
            <color indexed="81"/>
            <rFont val="Tahoma"/>
            <family val="2"/>
            <charset val="186"/>
          </rPr>
          <t>PackardBell:</t>
        </r>
        <r>
          <rPr>
            <sz val="9"/>
            <color indexed="81"/>
            <rFont val="Tahoma"/>
            <family val="2"/>
            <charset val="186"/>
          </rPr>
          <t xml:space="preserve">
5711-5641</t>
        </r>
      </text>
    </comment>
    <comment ref="K72" authorId="2" shapeId="0" xr:uid="{00000000-0006-0000-0100-000094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5779-5711</t>
        </r>
      </text>
    </comment>
    <comment ref="L72" authorId="2" shapeId="0" xr:uid="{00000000-0006-0000-0100-000095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5848-5779</t>
        </r>
      </text>
    </comment>
    <comment ref="L74" authorId="2" shapeId="0" xr:uid="{00000000-0006-0000-0100-000096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344-314</t>
        </r>
      </text>
    </comment>
    <comment ref="M74" authorId="2" shapeId="0" xr:uid="{00000000-0006-0000-0100-000097000000}">
      <text>
        <r>
          <rPr>
            <b/>
            <sz val="9"/>
            <color indexed="81"/>
            <rFont val="Tahoma"/>
            <family val="2"/>
            <charset val="186"/>
          </rPr>
          <t>Compaq:</t>
        </r>
        <r>
          <rPr>
            <sz val="9"/>
            <color indexed="81"/>
            <rFont val="Tahoma"/>
            <family val="2"/>
            <charset val="186"/>
          </rPr>
          <t xml:space="preserve">
373-344
</t>
        </r>
      </text>
    </comment>
  </commentList>
</comments>
</file>

<file path=xl/sharedStrings.xml><?xml version="1.0" encoding="utf-8"?>
<sst xmlns="http://schemas.openxmlformats.org/spreadsheetml/2006/main" count="350" uniqueCount="64">
  <si>
    <t>Parka Nr.3</t>
  </si>
  <si>
    <t>Dzīvokļu skaits</t>
  </si>
  <si>
    <t>KU</t>
  </si>
  <si>
    <t>Apkure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</si>
  <si>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</si>
  <si>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</si>
  <si>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</si>
  <si>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</si>
  <si>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</si>
  <si>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</si>
  <si>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</si>
  <si>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</si>
  <si>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</si>
  <si>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</si>
  <si>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</si>
  <si>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</si>
  <si>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</si>
  <si>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m2</t>
  </si>
  <si>
    <t>Objekts</t>
  </si>
  <si>
    <t>Meliorācijas Nr.15</t>
  </si>
  <si>
    <t>Rīgas Nr.16</t>
  </si>
  <si>
    <t>Rīgas Nr.18</t>
  </si>
  <si>
    <t>Spartaka Nr.8-1</t>
  </si>
  <si>
    <t>Spartaka Nr.14</t>
  </si>
  <si>
    <t>Spartaka Nr.9</t>
  </si>
  <si>
    <t>Spartaka Nr.13</t>
  </si>
  <si>
    <t>Spartaka Nr.10</t>
  </si>
  <si>
    <t>MelNr.15</t>
  </si>
  <si>
    <t>Apkure kWh/m2</t>
  </si>
  <si>
    <t>KŪ</t>
  </si>
  <si>
    <t xml:space="preserve">Kastaņu Nr.4 </t>
  </si>
  <si>
    <t>Kastaņu Nr.5</t>
  </si>
  <si>
    <t>Kastaņu Nr.6</t>
  </si>
  <si>
    <t>Kastaņu Nr.7</t>
  </si>
  <si>
    <t>Kastaņu Nr.9</t>
  </si>
  <si>
    <t>Parka Nr.1</t>
  </si>
  <si>
    <t>Meliorācijas Nr.17</t>
  </si>
  <si>
    <t>Meliorācijas Nr.19</t>
  </si>
  <si>
    <t>Meliorācijas Nr.21</t>
  </si>
  <si>
    <t>Meliorācijas Nr.23</t>
  </si>
  <si>
    <t>Meliorācijas Nr.25</t>
  </si>
  <si>
    <t>Saules Nr.9</t>
  </si>
  <si>
    <t>Stadiona Nr.12</t>
  </si>
  <si>
    <t>Skolas 11</t>
  </si>
  <si>
    <t>Skolas 13</t>
  </si>
  <si>
    <t>Saules iela 11, Brankas</t>
  </si>
  <si>
    <t>Saules iela 7, Brankas</t>
  </si>
  <si>
    <t>Skolas Nr.11</t>
  </si>
  <si>
    <t>Skolas Nr.13</t>
  </si>
  <si>
    <t>Saules iela 1, Brankas</t>
  </si>
  <si>
    <t>Vidēji</t>
  </si>
  <si>
    <t>Siltumenerģija kWh/m2</t>
  </si>
  <si>
    <t>Saules 11, Brankas</t>
  </si>
  <si>
    <t>Saules 7, Brankas</t>
  </si>
  <si>
    <t>Saules 1, Brankas</t>
  </si>
  <si>
    <t>Aizupes 4</t>
  </si>
  <si>
    <t>Nerenovētās mājas 2014</t>
  </si>
  <si>
    <t>Renovētās mājas 2014</t>
  </si>
  <si>
    <t>Nerenovētās mājas 2015</t>
  </si>
  <si>
    <t>Renovētās mājas 2015</t>
  </si>
  <si>
    <t>Apkures siltummezgla skaitītāja rādījumi un patēriņš MWh 2014.gadā Ozolniekos, Ozolnieku novadā</t>
  </si>
  <si>
    <t>Apkures siltummezgla skaitītāja rādījumi un patēriņš MWh 2015.gadā Ozolniekos, Ozolnieku novadā</t>
  </si>
  <si>
    <t>Informācijas sniedzējs: SIA "Ozolnieku KSDU"</t>
  </si>
  <si>
    <t>Publicētājs: ZREA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</si>
</sst>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9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2" borderId="1" xfId="0" applyFont="1" applyFill="1" applyBorder="1"/>
    <xf numFmtId="2" fontId="0" fillId="2" borderId="1" xfId="0" applyNumberFormat="1" applyFill="1" applyBorder="1"/>
    <xf numFmtId="2" fontId="0" fillId="5" borderId="1" xfId="0" applyNumberFormat="1" applyFill="1" applyBorder="1"/>
    <xf numFmtId="2" fontId="0" fillId="3" borderId="1" xfId="0" applyNumberFormat="1" applyFill="1" applyBorder="1"/>
    <xf numFmtId="0" fontId="3" fillId="2" borderId="1" xfId="0" applyFont="1" applyFill="1" applyBorder="1"/>
    <xf numFmtId="0" fontId="0" fillId="6" borderId="1" xfId="0" applyFill="1" applyBorder="1"/>
    <xf numFmtId="2" fontId="1" fillId="2" borderId="1" xfId="0" applyNumberFormat="1" applyFont="1" applyFill="1" applyBorder="1"/>
    <xf numFmtId="2" fontId="0" fillId="2" borderId="35" xfId="0" applyNumberFormat="1" applyFill="1" applyBorder="1"/>
    <xf numFmtId="0" fontId="0" fillId="2" borderId="38" xfId="0" applyFont="1" applyFill="1" applyBorder="1"/>
    <xf numFmtId="2" fontId="0" fillId="2" borderId="36" xfId="0" applyNumberFormat="1" applyFill="1" applyBorder="1"/>
    <xf numFmtId="2" fontId="0" fillId="3" borderId="36" xfId="0" applyNumberFormat="1" applyFill="1" applyBorder="1"/>
    <xf numFmtId="2" fontId="0" fillId="3" borderId="5" xfId="0" applyNumberFormat="1" applyFill="1" applyBorder="1"/>
    <xf numFmtId="0" fontId="0" fillId="2" borderId="1" xfId="0" applyFill="1" applyBorder="1"/>
    <xf numFmtId="0" fontId="3" fillId="2" borderId="36" xfId="0" applyFont="1" applyFill="1" applyBorder="1" applyAlignment="1">
      <alignment vertical="center"/>
    </xf>
    <xf numFmtId="0" fontId="3" fillId="6" borderId="1" xfId="0" applyFont="1" applyFill="1" applyBorder="1"/>
    <xf numFmtId="0" fontId="3" fillId="2" borderId="36" xfId="0" applyFont="1" applyFill="1" applyBorder="1"/>
    <xf numFmtId="0" fontId="2" fillId="0" borderId="43" xfId="0" applyFont="1" applyBorder="1" applyAlignment="1">
      <alignment horizontal="center" vertical="center"/>
    </xf>
    <xf numFmtId="2" fontId="2" fillId="0" borderId="4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17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2" fontId="6" fillId="2" borderId="25" xfId="0" applyNumberFormat="1" applyFont="1" applyFill="1" applyBorder="1" applyAlignment="1">
      <alignment horizontal="center" vertical="center"/>
    </xf>
    <xf numFmtId="2" fontId="6" fillId="2" borderId="23" xfId="0" applyNumberFormat="1" applyFont="1" applyFill="1" applyBorder="1" applyAlignment="1">
      <alignment horizontal="center" vertical="center"/>
    </xf>
    <xf numFmtId="2" fontId="6" fillId="2" borderId="26" xfId="0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2" fontId="6" fillId="2" borderId="2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4" xfId="0" applyNumberFormat="1" applyFont="1" applyFill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2" fontId="6" fillId="4" borderId="22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2" fontId="6" fillId="4" borderId="21" xfId="0" applyNumberFormat="1" applyFont="1" applyFill="1" applyBorder="1" applyAlignment="1">
      <alignment horizontal="center" vertical="center"/>
    </xf>
    <xf numFmtId="2" fontId="6" fillId="4" borderId="16" xfId="0" applyNumberFormat="1" applyFont="1" applyFill="1" applyBorder="1" applyAlignment="1">
      <alignment horizontal="center" vertical="center"/>
    </xf>
    <xf numFmtId="2" fontId="6" fillId="4" borderId="19" xfId="0" applyNumberFormat="1" applyFont="1" applyFill="1" applyBorder="1" applyAlignment="1">
      <alignment horizontal="center" vertical="center"/>
    </xf>
    <xf numFmtId="2" fontId="8" fillId="4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8" fillId="0" borderId="40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2" borderId="21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2" fontId="6" fillId="0" borderId="37" xfId="0" applyNumberFormat="1" applyFont="1" applyFill="1" applyBorder="1" applyAlignment="1">
      <alignment horizontal="center" vertical="center"/>
    </xf>
    <xf numFmtId="2" fontId="8" fillId="0" borderId="41" xfId="0" applyNumberFormat="1" applyFont="1" applyBorder="1" applyAlignment="1">
      <alignment horizontal="center" vertical="center"/>
    </xf>
    <xf numFmtId="2" fontId="6" fillId="0" borderId="42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35" xfId="0" applyNumberFormat="1" applyFill="1" applyBorder="1"/>
    <xf numFmtId="2" fontId="0" fillId="0" borderId="36" xfId="0" applyNumberFormat="1" applyBorder="1"/>
    <xf numFmtId="0" fontId="0" fillId="0" borderId="1" xfId="0" applyBorder="1"/>
    <xf numFmtId="2" fontId="0" fillId="0" borderId="3" xfId="0" applyNumberFormat="1" applyFill="1" applyBorder="1"/>
    <xf numFmtId="2" fontId="11" fillId="0" borderId="3" xfId="0" applyNumberFormat="1" applyFont="1" applyFill="1" applyBorder="1"/>
    <xf numFmtId="2" fontId="0" fillId="0" borderId="46" xfId="0" applyNumberFormat="1" applyFill="1" applyBorder="1"/>
    <xf numFmtId="0" fontId="0" fillId="0" borderId="3" xfId="0" applyFill="1" applyBorder="1"/>
    <xf numFmtId="2" fontId="2" fillId="0" borderId="3" xfId="0" applyNumberFormat="1" applyFont="1" applyBorder="1"/>
    <xf numFmtId="0" fontId="2" fillId="2" borderId="3" xfId="0" applyFont="1" applyFill="1" applyBorder="1"/>
    <xf numFmtId="0" fontId="2" fillId="0" borderId="8" xfId="0" applyFont="1" applyBorder="1"/>
    <xf numFmtId="2" fontId="2" fillId="5" borderId="3" xfId="0" applyNumberFormat="1" applyFont="1" applyFill="1" applyBorder="1"/>
    <xf numFmtId="0" fontId="2" fillId="5" borderId="3" xfId="0" applyFont="1" applyFill="1" applyBorder="1"/>
    <xf numFmtId="0" fontId="2" fillId="5" borderId="8" xfId="0" applyFont="1" applyFill="1" applyBorder="1"/>
    <xf numFmtId="2" fontId="2" fillId="0" borderId="8" xfId="0" applyNumberFormat="1" applyFont="1" applyBorder="1"/>
    <xf numFmtId="2" fontId="2" fillId="2" borderId="3" xfId="0" applyNumberFormat="1" applyFont="1" applyFill="1" applyBorder="1"/>
    <xf numFmtId="0" fontId="0" fillId="4" borderId="3" xfId="0" applyFill="1" applyBorder="1"/>
    <xf numFmtId="2" fontId="0" fillId="4" borderId="3" xfId="0" applyNumberFormat="1" applyFill="1" applyBorder="1"/>
    <xf numFmtId="0" fontId="8" fillId="4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43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0" fillId="0" borderId="6" xfId="0" applyBorder="1"/>
    <xf numFmtId="0" fontId="13" fillId="0" borderId="47" xfId="0" applyFont="1" applyBorder="1"/>
    <xf numFmtId="0" fontId="13" fillId="0" borderId="41" xfId="0" applyFont="1" applyBorder="1"/>
    <xf numFmtId="0" fontId="13" fillId="0" borderId="48" xfId="0" applyFont="1" applyBorder="1"/>
    <xf numFmtId="0" fontId="13" fillId="0" borderId="26" xfId="0" applyFont="1" applyBorder="1"/>
    <xf numFmtId="0" fontId="13" fillId="0" borderId="49" xfId="0" applyFont="1" applyBorder="1"/>
    <xf numFmtId="0" fontId="13" fillId="0" borderId="25" xfId="0" applyFont="1" applyBorder="1"/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76"/>
  <sheetViews>
    <sheetView tabSelected="1" zoomScale="80" zoomScaleNormal="80" workbookViewId="0">
      <selection activeCell="AF33" sqref="AF33"/>
    </sheetView>
  </sheetViews>
  <sheetFormatPr defaultRowHeight="15" x14ac:dyDescent="0.25"/>
  <cols>
    <col min="1" max="1" width="1.28515625" customWidth="1"/>
    <col min="2" max="2" width="16.5703125" bestFit="1" customWidth="1"/>
    <col min="3" max="14" width="6.5703125" bestFit="1" customWidth="1"/>
    <col min="15" max="15" width="7.5703125" bestFit="1" customWidth="1"/>
    <col min="16" max="16" width="7.42578125" customWidth="1"/>
    <col min="17" max="17" width="6" bestFit="1" customWidth="1"/>
    <col min="18" max="18" width="6.140625" bestFit="1" customWidth="1"/>
    <col min="19" max="19" width="6.28515625" customWidth="1"/>
    <col min="20" max="20" width="6" bestFit="1" customWidth="1"/>
    <col min="21" max="22" width="6.85546875" customWidth="1"/>
    <col min="23" max="23" width="6" bestFit="1" customWidth="1"/>
    <col min="24" max="24" width="6.140625" bestFit="1" customWidth="1"/>
    <col min="25" max="25" width="6.5703125" customWidth="1"/>
    <col min="26" max="26" width="6" bestFit="1" customWidth="1"/>
    <col min="27" max="27" width="6.7109375" customWidth="1"/>
    <col min="28" max="28" width="5.85546875" customWidth="1"/>
    <col min="29" max="29" width="6" bestFit="1" customWidth="1"/>
    <col min="30" max="30" width="6.5703125" customWidth="1"/>
    <col min="31" max="31" width="5.140625" customWidth="1"/>
    <col min="32" max="32" width="6" bestFit="1" customWidth="1"/>
    <col min="33" max="33" width="6.140625" bestFit="1" customWidth="1"/>
    <col min="34" max="34" width="5.85546875" customWidth="1"/>
    <col min="35" max="35" width="6" bestFit="1" customWidth="1"/>
    <col min="36" max="36" width="6.140625" bestFit="1" customWidth="1"/>
    <col min="37" max="37" width="6" customWidth="1"/>
    <col min="38" max="38" width="6" bestFit="1" customWidth="1"/>
    <col min="39" max="39" width="6.140625" bestFit="1" customWidth="1"/>
    <col min="40" max="40" width="6" customWidth="1"/>
    <col min="41" max="41" width="6" bestFit="1" customWidth="1"/>
    <col min="42" max="42" width="7.5703125" customWidth="1"/>
    <col min="43" max="43" width="6.7109375" customWidth="1"/>
    <col min="44" max="44" width="6.28515625" bestFit="1" customWidth="1"/>
    <col min="45" max="45" width="7.28515625" customWidth="1"/>
    <col min="46" max="46" width="12.28515625" customWidth="1"/>
  </cols>
  <sheetData>
    <row r="1" spans="2:46" ht="15.75" x14ac:dyDescent="0.25">
      <c r="D1" s="151" t="s">
        <v>60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38"/>
      <c r="V1" s="138"/>
    </row>
    <row r="2" spans="2:46" ht="6" customHeight="1" thickBot="1" x14ac:dyDescent="0.3"/>
    <row r="3" spans="2:46" ht="21.75" thickBot="1" x14ac:dyDescent="0.3">
      <c r="B3" s="139"/>
      <c r="C3" s="149" t="s">
        <v>56</v>
      </c>
      <c r="D3" s="150"/>
      <c r="E3" s="150"/>
      <c r="F3" s="150"/>
      <c r="G3" s="150"/>
      <c r="H3" s="150"/>
      <c r="I3" s="150"/>
      <c r="J3" s="15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1"/>
    </row>
    <row r="4" spans="2:46" x14ac:dyDescent="0.25">
      <c r="B4" s="152" t="s">
        <v>18</v>
      </c>
      <c r="C4" s="155" t="s">
        <v>1</v>
      </c>
      <c r="D4" s="156"/>
      <c r="E4" s="157" t="s">
        <v>17</v>
      </c>
      <c r="F4" s="160" t="s">
        <v>4</v>
      </c>
      <c r="G4" s="156"/>
      <c r="H4" s="161"/>
      <c r="I4" s="155" t="s">
        <v>5</v>
      </c>
      <c r="J4" s="156"/>
      <c r="K4" s="157"/>
      <c r="L4" s="160" t="s">
        <v>6</v>
      </c>
      <c r="M4" s="156"/>
      <c r="N4" s="161"/>
      <c r="O4" s="155" t="s">
        <v>7</v>
      </c>
      <c r="P4" s="156"/>
      <c r="Q4" s="157"/>
      <c r="R4" s="160" t="s">
        <v>8</v>
      </c>
      <c r="S4" s="156"/>
      <c r="T4" s="161"/>
      <c r="U4" s="155" t="s">
        <v>9</v>
      </c>
      <c r="V4" s="156"/>
      <c r="W4" s="157"/>
      <c r="X4" s="160" t="s">
        <v>10</v>
      </c>
      <c r="Y4" s="156"/>
      <c r="Z4" s="161"/>
      <c r="AA4" s="155" t="s">
        <v>11</v>
      </c>
      <c r="AB4" s="156"/>
      <c r="AC4" s="157"/>
      <c r="AD4" s="160" t="s">
        <v>12</v>
      </c>
      <c r="AE4" s="156"/>
      <c r="AF4" s="161"/>
      <c r="AG4" s="155" t="s">
        <v>13</v>
      </c>
      <c r="AH4" s="156"/>
      <c r="AI4" s="157"/>
      <c r="AJ4" s="160" t="s">
        <v>14</v>
      </c>
      <c r="AK4" s="156"/>
      <c r="AL4" s="161"/>
      <c r="AM4" s="155" t="s">
        <v>15</v>
      </c>
      <c r="AN4" s="156"/>
      <c r="AO4" s="157"/>
      <c r="AP4" s="155" t="s">
        <v>16</v>
      </c>
      <c r="AQ4" s="156"/>
      <c r="AR4" s="157"/>
      <c r="AS4" s="171" t="s">
        <v>28</v>
      </c>
      <c r="AT4" s="166" t="s">
        <v>51</v>
      </c>
    </row>
    <row r="5" spans="2:46" ht="15.75" thickBot="1" x14ac:dyDescent="0.3">
      <c r="B5" s="153"/>
      <c r="C5" s="169" t="s">
        <v>2</v>
      </c>
      <c r="D5" s="170" t="s">
        <v>3</v>
      </c>
      <c r="E5" s="158"/>
      <c r="F5" s="162"/>
      <c r="G5" s="163"/>
      <c r="H5" s="164"/>
      <c r="I5" s="165"/>
      <c r="J5" s="163"/>
      <c r="K5" s="159"/>
      <c r="L5" s="162"/>
      <c r="M5" s="163"/>
      <c r="N5" s="164"/>
      <c r="O5" s="165"/>
      <c r="P5" s="163"/>
      <c r="Q5" s="159"/>
      <c r="R5" s="162"/>
      <c r="S5" s="163"/>
      <c r="T5" s="164"/>
      <c r="U5" s="165"/>
      <c r="V5" s="163"/>
      <c r="W5" s="159"/>
      <c r="X5" s="162"/>
      <c r="Y5" s="163"/>
      <c r="Z5" s="164"/>
      <c r="AA5" s="165"/>
      <c r="AB5" s="163"/>
      <c r="AC5" s="159"/>
      <c r="AD5" s="162"/>
      <c r="AE5" s="163"/>
      <c r="AF5" s="164"/>
      <c r="AG5" s="165"/>
      <c r="AH5" s="163"/>
      <c r="AI5" s="159"/>
      <c r="AJ5" s="162"/>
      <c r="AK5" s="163"/>
      <c r="AL5" s="164"/>
      <c r="AM5" s="165"/>
      <c r="AN5" s="163"/>
      <c r="AO5" s="159"/>
      <c r="AP5" s="165"/>
      <c r="AQ5" s="163"/>
      <c r="AR5" s="159"/>
      <c r="AS5" s="172"/>
      <c r="AT5" s="167"/>
    </row>
    <row r="6" spans="2:46" ht="15.75" thickBot="1" x14ac:dyDescent="0.3">
      <c r="B6" s="154"/>
      <c r="C6" s="165"/>
      <c r="D6" s="163"/>
      <c r="E6" s="159"/>
      <c r="F6" s="23" t="s">
        <v>16</v>
      </c>
      <c r="G6" s="24" t="s">
        <v>29</v>
      </c>
      <c r="H6" s="25" t="s">
        <v>3</v>
      </c>
      <c r="I6" s="26" t="s">
        <v>16</v>
      </c>
      <c r="J6" s="24" t="s">
        <v>29</v>
      </c>
      <c r="K6" s="27" t="s">
        <v>3</v>
      </c>
      <c r="L6" s="23" t="s">
        <v>16</v>
      </c>
      <c r="M6" s="24" t="s">
        <v>29</v>
      </c>
      <c r="N6" s="25" t="s">
        <v>3</v>
      </c>
      <c r="O6" s="26" t="s">
        <v>16</v>
      </c>
      <c r="P6" s="24" t="s">
        <v>29</v>
      </c>
      <c r="Q6" s="27" t="s">
        <v>3</v>
      </c>
      <c r="R6" s="23" t="s">
        <v>16</v>
      </c>
      <c r="S6" s="24" t="s">
        <v>29</v>
      </c>
      <c r="T6" s="25" t="s">
        <v>3</v>
      </c>
      <c r="U6" s="26" t="s">
        <v>16</v>
      </c>
      <c r="V6" s="24" t="s">
        <v>29</v>
      </c>
      <c r="W6" s="27" t="s">
        <v>3</v>
      </c>
      <c r="X6" s="23" t="s">
        <v>16</v>
      </c>
      <c r="Y6" s="24" t="s">
        <v>29</v>
      </c>
      <c r="Z6" s="25" t="s">
        <v>3</v>
      </c>
      <c r="AA6" s="26" t="s">
        <v>16</v>
      </c>
      <c r="AB6" s="24" t="s">
        <v>29</v>
      </c>
      <c r="AC6" s="27" t="s">
        <v>3</v>
      </c>
      <c r="AD6" s="23" t="s">
        <v>16</v>
      </c>
      <c r="AE6" s="24" t="s">
        <v>29</v>
      </c>
      <c r="AF6" s="25" t="s">
        <v>3</v>
      </c>
      <c r="AG6" s="26" t="s">
        <v>16</v>
      </c>
      <c r="AH6" s="24" t="s">
        <v>29</v>
      </c>
      <c r="AI6" s="27" t="s">
        <v>3</v>
      </c>
      <c r="AJ6" s="23" t="s">
        <v>16</v>
      </c>
      <c r="AK6" s="24" t="s">
        <v>29</v>
      </c>
      <c r="AL6" s="25" t="s">
        <v>3</v>
      </c>
      <c r="AM6" s="26" t="s">
        <v>16</v>
      </c>
      <c r="AN6" s="24" t="s">
        <v>29</v>
      </c>
      <c r="AO6" s="27" t="s">
        <v>3</v>
      </c>
      <c r="AP6" s="26" t="s">
        <v>16</v>
      </c>
      <c r="AQ6" s="24" t="s">
        <v>29</v>
      </c>
      <c r="AR6" s="27" t="s">
        <v>3</v>
      </c>
      <c r="AS6" s="173"/>
      <c r="AT6" s="168"/>
    </row>
    <row r="7" spans="2:46" x14ac:dyDescent="0.25">
      <c r="B7" s="32" t="s">
        <v>0</v>
      </c>
      <c r="C7" s="33">
        <v>41</v>
      </c>
      <c r="D7" s="34">
        <v>41</v>
      </c>
      <c r="E7" s="35">
        <v>2161</v>
      </c>
      <c r="F7" s="123">
        <v>60.47</v>
      </c>
      <c r="G7" s="37">
        <f>C52*0.06</f>
        <v>9.1199999999999992</v>
      </c>
      <c r="H7" s="38">
        <f>F7-G7</f>
        <v>51.35</v>
      </c>
      <c r="I7" s="39">
        <v>48.96</v>
      </c>
      <c r="J7" s="37">
        <f>D52*0.06</f>
        <v>8.4599999999999991</v>
      </c>
      <c r="K7" s="40">
        <f>I7-J7</f>
        <v>40.5</v>
      </c>
      <c r="L7" s="36">
        <v>35.210000000000036</v>
      </c>
      <c r="M7" s="37">
        <f>0.06*E52</f>
        <v>7.26</v>
      </c>
      <c r="N7" s="38">
        <f>L7-M7</f>
        <v>27.950000000000038</v>
      </c>
      <c r="O7" s="39">
        <v>32.119999999999891</v>
      </c>
      <c r="P7" s="37">
        <f>F52*0.06</f>
        <v>9.06</v>
      </c>
      <c r="Q7" s="40">
        <f>O7-P7</f>
        <v>23.059999999999889</v>
      </c>
      <c r="R7" s="36">
        <v>13.89</v>
      </c>
      <c r="S7" s="37">
        <f>G52*0.06</f>
        <v>8.52</v>
      </c>
      <c r="T7" s="38">
        <f>R7-S7</f>
        <v>5.370000000000001</v>
      </c>
      <c r="U7" s="39">
        <v>13.720000000000255</v>
      </c>
      <c r="V7" s="37">
        <f>H52*0.06</f>
        <v>8.6999999999999993</v>
      </c>
      <c r="W7" s="40">
        <f>U7-V7</f>
        <v>5.0200000000002554</v>
      </c>
      <c r="X7" s="36">
        <v>11.079999999999927</v>
      </c>
      <c r="Y7" s="37">
        <f>I52*0.06</f>
        <v>8.16</v>
      </c>
      <c r="Z7" s="38">
        <f>X7-Y7</f>
        <v>2.9199999999999271</v>
      </c>
      <c r="AA7" s="39">
        <v>12.02</v>
      </c>
      <c r="AB7" s="37">
        <f>J52*0.06</f>
        <v>8.1180000000000003</v>
      </c>
      <c r="AC7" s="40">
        <f>AA7-AB7</f>
        <v>3.9019999999999992</v>
      </c>
      <c r="AD7" s="36">
        <v>13.59</v>
      </c>
      <c r="AE7" s="37">
        <f>K52*0.06</f>
        <v>7.7303999999999995</v>
      </c>
      <c r="AF7" s="38">
        <f>AD7-AE7</f>
        <v>5.8596000000000004</v>
      </c>
      <c r="AG7" s="39">
        <v>26.81</v>
      </c>
      <c r="AH7" s="37">
        <f>L52*0.06</f>
        <v>7.6697999999999995</v>
      </c>
      <c r="AI7" s="40">
        <f>AG7-AH7</f>
        <v>19.1402</v>
      </c>
      <c r="AJ7" s="36">
        <v>34.519999999999527</v>
      </c>
      <c r="AK7" s="37">
        <f>M52*0.06</f>
        <v>8.1227999999999998</v>
      </c>
      <c r="AL7" s="38">
        <f>AJ7-AK7</f>
        <v>26.397199999999529</v>
      </c>
      <c r="AM7" s="41">
        <v>41.730000000000473</v>
      </c>
      <c r="AN7" s="42">
        <f>N52*0.06</f>
        <v>8.4527999999999999</v>
      </c>
      <c r="AO7" s="43">
        <f>AM7-AN7</f>
        <v>33.277200000000477</v>
      </c>
      <c r="AP7" s="44">
        <f>F7+I7+L7+O7+R7+U7+X7+AA7+AD7+AG7+AJ7+AM7</f>
        <v>344.12000000000012</v>
      </c>
      <c r="AQ7" s="45">
        <f>G7+J7+M7+P7+S7+V7+Y7+AB7+AE7+AH7+AK7+AN7</f>
        <v>99.373799999999989</v>
      </c>
      <c r="AR7" s="46">
        <f>AP7-AQ7</f>
        <v>244.74620000000013</v>
      </c>
      <c r="AS7" s="47">
        <f>AR7*1000/E7</f>
        <v>113.25599259602042</v>
      </c>
      <c r="AT7" s="48">
        <f>AP7*1000/E7</f>
        <v>159.24109208699682</v>
      </c>
    </row>
    <row r="8" spans="2:46" x14ac:dyDescent="0.25">
      <c r="B8" s="49" t="s">
        <v>19</v>
      </c>
      <c r="C8" s="50">
        <v>18</v>
      </c>
      <c r="D8" s="51">
        <v>18</v>
      </c>
      <c r="E8" s="52">
        <v>795.7</v>
      </c>
      <c r="F8" s="123">
        <v>22.47</v>
      </c>
      <c r="G8" s="54">
        <f>C53*0.06</f>
        <v>2.6999999999999997</v>
      </c>
      <c r="H8" s="55">
        <f t="shared" ref="H8:H18" si="0">F8-G8</f>
        <v>19.77</v>
      </c>
      <c r="I8" s="56">
        <v>17.760000000000002</v>
      </c>
      <c r="J8" s="54">
        <f t="shared" ref="J8:J10" si="1">D53*0.06</f>
        <v>2.6999999999999997</v>
      </c>
      <c r="K8" s="57">
        <f t="shared" ref="K8:K18" si="2">I8-J8</f>
        <v>15.060000000000002</v>
      </c>
      <c r="L8" s="53">
        <v>12.210000000000036</v>
      </c>
      <c r="M8" s="54">
        <f t="shared" ref="M8:M10" si="3">0.06*E53</f>
        <v>2.2799999999999998</v>
      </c>
      <c r="N8" s="55">
        <f t="shared" ref="N8:N18" si="4">L8-M8</f>
        <v>9.930000000000037</v>
      </c>
      <c r="O8" s="56">
        <v>9.1999999999998181</v>
      </c>
      <c r="P8" s="54">
        <f t="shared" ref="P8:P10" si="5">F53*0.06</f>
        <v>2.2799999999999998</v>
      </c>
      <c r="Q8" s="57">
        <f t="shared" ref="Q8:Q18" si="6">O8-P8</f>
        <v>6.9199999999998187</v>
      </c>
      <c r="R8" s="53">
        <v>2.3400000000001455</v>
      </c>
      <c r="S8" s="54">
        <f t="shared" ref="S8:S10" si="7">G53*0.06</f>
        <v>1.02</v>
      </c>
      <c r="T8" s="55">
        <f t="shared" ref="T8:T18" si="8">R8-S8</f>
        <v>1.3200000000001455</v>
      </c>
      <c r="U8" s="56">
        <v>2.1900000000000546</v>
      </c>
      <c r="V8" s="54">
        <f t="shared" ref="V8:V10" si="9">H53*0.06</f>
        <v>2.2799999999999998</v>
      </c>
      <c r="W8" s="57">
        <f t="shared" ref="W8:W18" si="10">U8-V8</f>
        <v>-8.9999999999945235E-2</v>
      </c>
      <c r="X8" s="53">
        <v>1.7800000000002001</v>
      </c>
      <c r="Y8" s="54">
        <f t="shared" ref="Y8:Y10" si="11">I53*0.06</f>
        <v>2.2199999999999998</v>
      </c>
      <c r="Z8" s="55">
        <f t="shared" ref="Z8:Z18" si="12">X8-Y8</f>
        <v>-0.43999999999979966</v>
      </c>
      <c r="AA8" s="56">
        <v>1.79</v>
      </c>
      <c r="AB8" s="54">
        <f t="shared" ref="AB8:AB10" si="13">J53*0.06</f>
        <v>1.6199999999999999</v>
      </c>
      <c r="AC8" s="57">
        <f t="shared" ref="AC8:AC18" si="14">AA8-AB8</f>
        <v>0.17000000000000015</v>
      </c>
      <c r="AD8" s="53">
        <v>2.0099999999999998</v>
      </c>
      <c r="AE8" s="54">
        <f t="shared" ref="AE8:AE10" si="15">K53*0.06</f>
        <v>2.2799999999999998</v>
      </c>
      <c r="AF8" s="55">
        <f t="shared" ref="AF8:AF18" si="16">AD8-AE8</f>
        <v>-0.27</v>
      </c>
      <c r="AG8" s="56">
        <v>8.1300000000000008</v>
      </c>
      <c r="AH8" s="54">
        <f t="shared" ref="AH8:AH10" si="17">L53*0.06</f>
        <v>2.1</v>
      </c>
      <c r="AI8" s="57">
        <f t="shared" ref="AI8:AI18" si="18">AG8-AH8</f>
        <v>6.0300000000000011</v>
      </c>
      <c r="AJ8" s="53">
        <v>11.349999999999909</v>
      </c>
      <c r="AK8" s="54">
        <f t="shared" ref="AK8:AK10" si="19">M53*0.06</f>
        <v>2.04</v>
      </c>
      <c r="AL8" s="55">
        <f t="shared" ref="AL8:AL18" si="20">AJ8-AK8</f>
        <v>9.3099999999999099</v>
      </c>
      <c r="AM8" s="56">
        <v>12.960000000000036</v>
      </c>
      <c r="AN8" s="54">
        <f t="shared" ref="AN8:AN10" si="21">N53*0.06</f>
        <v>2.1</v>
      </c>
      <c r="AO8" s="57">
        <f t="shared" ref="AO8:AO18" si="22">AM8-AN8</f>
        <v>10.860000000000037</v>
      </c>
      <c r="AP8" s="58">
        <f t="shared" ref="AP8:AQ39" si="23">F8+I8+L8+O8+R8+U8+X8+AA8+AD8+AG8+AJ8+AM8</f>
        <v>104.19000000000021</v>
      </c>
      <c r="AQ8" s="59">
        <f t="shared" si="23"/>
        <v>25.62</v>
      </c>
      <c r="AR8" s="60">
        <f t="shared" ref="AR8:AR39" si="24">AP8-AQ8</f>
        <v>78.570000000000206</v>
      </c>
      <c r="AS8" s="61">
        <f t="shared" ref="AS8:AS39" si="25">AR8*1000/E8</f>
        <v>98.743244941561144</v>
      </c>
      <c r="AT8" s="61">
        <f t="shared" ref="AT8:AT39" si="26">AP8*1000/E8</f>
        <v>130.94130953877115</v>
      </c>
    </row>
    <row r="9" spans="2:46" x14ac:dyDescent="0.25">
      <c r="B9" s="49" t="s">
        <v>20</v>
      </c>
      <c r="C9" s="50">
        <v>22</v>
      </c>
      <c r="D9" s="51">
        <v>22</v>
      </c>
      <c r="E9" s="52">
        <v>1133.8</v>
      </c>
      <c r="F9" s="123">
        <v>39.200000000000003</v>
      </c>
      <c r="G9" s="54">
        <f>C54*0.06</f>
        <v>3.3</v>
      </c>
      <c r="H9" s="55">
        <f t="shared" si="0"/>
        <v>35.900000000000006</v>
      </c>
      <c r="I9" s="56">
        <v>30.99</v>
      </c>
      <c r="J9" s="54">
        <f t="shared" si="1"/>
        <v>3.36</v>
      </c>
      <c r="K9" s="57">
        <f t="shared" si="2"/>
        <v>27.63</v>
      </c>
      <c r="L9" s="53">
        <v>24.090000000000146</v>
      </c>
      <c r="M9" s="54">
        <f t="shared" si="3"/>
        <v>2.58</v>
      </c>
      <c r="N9" s="55">
        <f t="shared" si="4"/>
        <v>21.510000000000147</v>
      </c>
      <c r="O9" s="56">
        <v>23.180000000000291</v>
      </c>
      <c r="P9" s="54">
        <f t="shared" si="5"/>
        <v>3.12</v>
      </c>
      <c r="Q9" s="57">
        <f t="shared" si="6"/>
        <v>20.06000000000029</v>
      </c>
      <c r="R9" s="53">
        <v>8.68</v>
      </c>
      <c r="S9" s="54">
        <f t="shared" si="7"/>
        <v>2.76</v>
      </c>
      <c r="T9" s="55">
        <f t="shared" si="8"/>
        <v>5.92</v>
      </c>
      <c r="U9" s="56">
        <v>10.429999999999382</v>
      </c>
      <c r="V9" s="54">
        <f t="shared" si="9"/>
        <v>2.4</v>
      </c>
      <c r="W9" s="57">
        <f t="shared" si="10"/>
        <v>8.0299999999993812</v>
      </c>
      <c r="X9" s="53">
        <v>4.4700000000011642</v>
      </c>
      <c r="Y9" s="54">
        <f t="shared" si="11"/>
        <v>2.46</v>
      </c>
      <c r="Z9" s="55">
        <f t="shared" si="12"/>
        <v>2.0100000000011642</v>
      </c>
      <c r="AA9" s="56">
        <v>6.8</v>
      </c>
      <c r="AB9" s="54">
        <f t="shared" si="13"/>
        <v>2.2529999999999997</v>
      </c>
      <c r="AC9" s="57">
        <f t="shared" si="14"/>
        <v>4.5470000000000006</v>
      </c>
      <c r="AD9" s="53">
        <v>7.42</v>
      </c>
      <c r="AE9" s="54">
        <f t="shared" si="15"/>
        <v>2.9051999999999998</v>
      </c>
      <c r="AF9" s="55">
        <f t="shared" si="16"/>
        <v>4.5148000000000001</v>
      </c>
      <c r="AG9" s="56">
        <v>12.9</v>
      </c>
      <c r="AH9" s="54">
        <f t="shared" si="17"/>
        <v>2.6652</v>
      </c>
      <c r="AI9" s="57">
        <f t="shared" si="18"/>
        <v>10.2348</v>
      </c>
      <c r="AJ9" s="53">
        <v>20.219999999999345</v>
      </c>
      <c r="AK9" s="54">
        <f t="shared" si="19"/>
        <v>2.7557999999999998</v>
      </c>
      <c r="AL9" s="55">
        <f t="shared" si="20"/>
        <v>17.464199999999344</v>
      </c>
      <c r="AM9" s="56">
        <v>22.5</v>
      </c>
      <c r="AN9" s="54">
        <f t="shared" si="21"/>
        <v>3.0893999999999999</v>
      </c>
      <c r="AO9" s="57">
        <f t="shared" si="22"/>
        <v>19.410599999999999</v>
      </c>
      <c r="AP9" s="58">
        <f t="shared" si="23"/>
        <v>210.88000000000034</v>
      </c>
      <c r="AQ9" s="59">
        <f t="shared" si="23"/>
        <v>33.648600000000002</v>
      </c>
      <c r="AR9" s="60">
        <f t="shared" si="24"/>
        <v>177.23140000000035</v>
      </c>
      <c r="AS9" s="61">
        <f t="shared" si="25"/>
        <v>156.31628153113454</v>
      </c>
      <c r="AT9" s="61">
        <f t="shared" si="26"/>
        <v>185.99400246957165</v>
      </c>
    </row>
    <row r="10" spans="2:46" x14ac:dyDescent="0.25">
      <c r="B10" s="49" t="s">
        <v>21</v>
      </c>
      <c r="C10" s="50">
        <v>96</v>
      </c>
      <c r="D10" s="51">
        <v>96</v>
      </c>
      <c r="E10" s="52">
        <v>3513.7</v>
      </c>
      <c r="F10" s="123">
        <v>99.82</v>
      </c>
      <c r="G10" s="54">
        <f>C55*0.06</f>
        <v>8.4599999999999991</v>
      </c>
      <c r="H10" s="55">
        <f t="shared" si="0"/>
        <v>91.36</v>
      </c>
      <c r="I10" s="56">
        <v>87.75</v>
      </c>
      <c r="J10" s="54">
        <f t="shared" si="1"/>
        <v>8.0399999999999991</v>
      </c>
      <c r="K10" s="57">
        <f t="shared" si="2"/>
        <v>79.710000000000008</v>
      </c>
      <c r="L10" s="53">
        <v>69.600000000000364</v>
      </c>
      <c r="M10" s="54">
        <f t="shared" si="3"/>
        <v>6.18</v>
      </c>
      <c r="N10" s="55">
        <f t="shared" si="4"/>
        <v>63.420000000000364</v>
      </c>
      <c r="O10" s="56">
        <v>64.479999999999563</v>
      </c>
      <c r="P10" s="54">
        <f t="shared" si="5"/>
        <v>6.96</v>
      </c>
      <c r="Q10" s="57">
        <f t="shared" si="6"/>
        <v>57.519999999999563</v>
      </c>
      <c r="R10" s="53">
        <v>23.61</v>
      </c>
      <c r="S10" s="54">
        <f t="shared" si="7"/>
        <v>5.2799999999999994</v>
      </c>
      <c r="T10" s="55">
        <f t="shared" si="8"/>
        <v>18.329999999999998</v>
      </c>
      <c r="U10" s="56">
        <v>22.739999999999782</v>
      </c>
      <c r="V10" s="54">
        <f t="shared" si="9"/>
        <v>4.5</v>
      </c>
      <c r="W10" s="57">
        <f t="shared" si="10"/>
        <v>18.239999999999782</v>
      </c>
      <c r="X10" s="53">
        <v>18.380000000000109</v>
      </c>
      <c r="Y10" s="54">
        <f t="shared" si="11"/>
        <v>4.4399999999999995</v>
      </c>
      <c r="Z10" s="55">
        <f t="shared" si="12"/>
        <v>13.94000000000011</v>
      </c>
      <c r="AA10" s="56">
        <v>19.79</v>
      </c>
      <c r="AB10" s="54">
        <f t="shared" si="13"/>
        <v>4.8515999999999995</v>
      </c>
      <c r="AC10" s="57">
        <f t="shared" si="14"/>
        <v>14.9384</v>
      </c>
      <c r="AD10" s="53">
        <v>21.65</v>
      </c>
      <c r="AE10" s="54">
        <f t="shared" si="15"/>
        <v>5.3688000000000002</v>
      </c>
      <c r="AF10" s="55">
        <f t="shared" si="16"/>
        <v>16.281199999999998</v>
      </c>
      <c r="AG10" s="56">
        <v>45.98</v>
      </c>
      <c r="AH10" s="54">
        <f t="shared" si="17"/>
        <v>6.6306000000000003</v>
      </c>
      <c r="AI10" s="57">
        <f t="shared" si="18"/>
        <v>39.349399999999996</v>
      </c>
      <c r="AJ10" s="53">
        <v>69.639999999999418</v>
      </c>
      <c r="AK10" s="54">
        <f t="shared" si="19"/>
        <v>7.0979999999999999</v>
      </c>
      <c r="AL10" s="55">
        <f t="shared" si="20"/>
        <v>62.541999999999419</v>
      </c>
      <c r="AM10" s="56">
        <v>76.430000000000291</v>
      </c>
      <c r="AN10" s="54">
        <f t="shared" si="21"/>
        <v>8.2067999999999994</v>
      </c>
      <c r="AO10" s="57">
        <f t="shared" si="22"/>
        <v>68.22320000000029</v>
      </c>
      <c r="AP10" s="58">
        <f t="shared" si="23"/>
        <v>619.86999999999955</v>
      </c>
      <c r="AQ10" s="59">
        <f t="shared" si="23"/>
        <v>76.015799999999999</v>
      </c>
      <c r="AR10" s="60">
        <f t="shared" si="24"/>
        <v>543.85419999999954</v>
      </c>
      <c r="AS10" s="61">
        <f t="shared" si="25"/>
        <v>154.78105700543574</v>
      </c>
      <c r="AT10" s="61">
        <f t="shared" si="26"/>
        <v>176.41517488687126</v>
      </c>
    </row>
    <row r="11" spans="2:46" x14ac:dyDescent="0.25">
      <c r="B11" s="62" t="s">
        <v>22</v>
      </c>
      <c r="C11" s="63">
        <v>0</v>
      </c>
      <c r="D11" s="64">
        <v>1</v>
      </c>
      <c r="E11" s="65">
        <v>40.4</v>
      </c>
      <c r="F11" s="135">
        <v>1.04</v>
      </c>
      <c r="G11" s="66">
        <v>0</v>
      </c>
      <c r="H11" s="67">
        <f t="shared" si="0"/>
        <v>1.04</v>
      </c>
      <c r="I11" s="135">
        <v>0.66</v>
      </c>
      <c r="J11" s="66">
        <v>0</v>
      </c>
      <c r="K11" s="68">
        <f t="shared" si="2"/>
        <v>0.66</v>
      </c>
      <c r="L11" s="135">
        <v>0.48</v>
      </c>
      <c r="M11" s="66">
        <v>0</v>
      </c>
      <c r="N11" s="67">
        <f t="shared" si="4"/>
        <v>0.48</v>
      </c>
      <c r="O11" s="135">
        <v>0.35</v>
      </c>
      <c r="P11" s="66">
        <v>0</v>
      </c>
      <c r="Q11" s="68">
        <f t="shared" si="6"/>
        <v>0.35</v>
      </c>
      <c r="R11" s="28">
        <v>0</v>
      </c>
      <c r="S11" s="66">
        <v>0</v>
      </c>
      <c r="T11" s="67">
        <f t="shared" si="8"/>
        <v>0</v>
      </c>
      <c r="U11" s="29">
        <v>0</v>
      </c>
      <c r="V11" s="66">
        <v>0</v>
      </c>
      <c r="W11" s="68">
        <f t="shared" si="10"/>
        <v>0</v>
      </c>
      <c r="X11" s="28">
        <v>0</v>
      </c>
      <c r="Y11" s="66">
        <v>0</v>
      </c>
      <c r="Z11" s="67">
        <f t="shared" si="12"/>
        <v>0</v>
      </c>
      <c r="AA11" s="29">
        <v>0</v>
      </c>
      <c r="AB11" s="66">
        <v>0</v>
      </c>
      <c r="AC11" s="68">
        <f t="shared" si="14"/>
        <v>0</v>
      </c>
      <c r="AD11" s="28">
        <v>0</v>
      </c>
      <c r="AE11" s="66">
        <v>0</v>
      </c>
      <c r="AF11" s="67">
        <f t="shared" si="16"/>
        <v>0</v>
      </c>
      <c r="AG11" s="135">
        <v>0.11</v>
      </c>
      <c r="AH11" s="66">
        <v>0</v>
      </c>
      <c r="AI11" s="68">
        <f t="shared" si="18"/>
        <v>0.11</v>
      </c>
      <c r="AJ11" s="135">
        <f>332.43-331.95</f>
        <v>0.48000000000001819</v>
      </c>
      <c r="AK11" s="66">
        <v>0</v>
      </c>
      <c r="AL11" s="67">
        <f t="shared" si="20"/>
        <v>0.48000000000001819</v>
      </c>
      <c r="AM11" s="135">
        <v>0.74</v>
      </c>
      <c r="AN11" s="66">
        <v>0</v>
      </c>
      <c r="AO11" s="68">
        <f t="shared" si="22"/>
        <v>0.74</v>
      </c>
      <c r="AP11" s="69">
        <f t="shared" si="23"/>
        <v>3.8600000000000181</v>
      </c>
      <c r="AQ11" s="66">
        <f t="shared" si="23"/>
        <v>0</v>
      </c>
      <c r="AR11" s="68">
        <f t="shared" si="24"/>
        <v>3.8600000000000181</v>
      </c>
      <c r="AS11" s="70">
        <f t="shared" si="25"/>
        <v>95.544554455446004</v>
      </c>
      <c r="AT11" s="70">
        <f t="shared" si="26"/>
        <v>95.544554455446004</v>
      </c>
    </row>
    <row r="12" spans="2:46" x14ac:dyDescent="0.25">
      <c r="B12" s="62" t="s">
        <v>23</v>
      </c>
      <c r="C12" s="63">
        <v>0</v>
      </c>
      <c r="D12" s="64">
        <v>60</v>
      </c>
      <c r="E12" s="65">
        <v>2651.1</v>
      </c>
      <c r="F12" s="135">
        <v>79.239999999999995</v>
      </c>
      <c r="G12" s="66">
        <v>0</v>
      </c>
      <c r="H12" s="67">
        <f t="shared" si="0"/>
        <v>79.239999999999995</v>
      </c>
      <c r="I12" s="135">
        <v>50.67</v>
      </c>
      <c r="J12" s="66">
        <v>0</v>
      </c>
      <c r="K12" s="68">
        <f t="shared" si="2"/>
        <v>50.67</v>
      </c>
      <c r="L12" s="135">
        <v>37.56</v>
      </c>
      <c r="M12" s="66">
        <v>0</v>
      </c>
      <c r="N12" s="67">
        <f t="shared" si="4"/>
        <v>37.56</v>
      </c>
      <c r="O12" s="135">
        <v>25.78</v>
      </c>
      <c r="P12" s="66">
        <v>0</v>
      </c>
      <c r="Q12" s="68">
        <f t="shared" si="6"/>
        <v>25.78</v>
      </c>
      <c r="R12" s="28">
        <v>0</v>
      </c>
      <c r="S12" s="66">
        <v>0</v>
      </c>
      <c r="T12" s="67">
        <f t="shared" si="8"/>
        <v>0</v>
      </c>
      <c r="U12" s="29">
        <v>0</v>
      </c>
      <c r="V12" s="66">
        <v>0</v>
      </c>
      <c r="W12" s="68">
        <f t="shared" si="10"/>
        <v>0</v>
      </c>
      <c r="X12" s="28">
        <v>0</v>
      </c>
      <c r="Y12" s="66">
        <v>0</v>
      </c>
      <c r="Z12" s="67">
        <f t="shared" si="12"/>
        <v>0</v>
      </c>
      <c r="AA12" s="29">
        <v>0</v>
      </c>
      <c r="AB12" s="66">
        <v>0</v>
      </c>
      <c r="AC12" s="68">
        <f t="shared" si="14"/>
        <v>0</v>
      </c>
      <c r="AD12" s="28">
        <v>0</v>
      </c>
      <c r="AE12" s="66">
        <v>0</v>
      </c>
      <c r="AF12" s="67">
        <f t="shared" si="16"/>
        <v>0</v>
      </c>
      <c r="AG12" s="135">
        <v>20.260000000000002</v>
      </c>
      <c r="AH12" s="66">
        <v>0</v>
      </c>
      <c r="AI12" s="68">
        <f t="shared" si="18"/>
        <v>20.260000000000002</v>
      </c>
      <c r="AJ12" s="135">
        <f>2975.89-2934.76</f>
        <v>41.129999999999654</v>
      </c>
      <c r="AK12" s="66">
        <v>0</v>
      </c>
      <c r="AL12" s="67">
        <f t="shared" si="20"/>
        <v>41.129999999999654</v>
      </c>
      <c r="AM12" s="135">
        <v>59.78</v>
      </c>
      <c r="AN12" s="66">
        <v>0</v>
      </c>
      <c r="AO12" s="68">
        <f t="shared" si="22"/>
        <v>59.78</v>
      </c>
      <c r="AP12" s="69">
        <f t="shared" si="23"/>
        <v>314.41999999999962</v>
      </c>
      <c r="AQ12" s="66">
        <f t="shared" si="23"/>
        <v>0</v>
      </c>
      <c r="AR12" s="68">
        <f t="shared" si="24"/>
        <v>314.41999999999962</v>
      </c>
      <c r="AS12" s="70">
        <f t="shared" si="25"/>
        <v>118.59982648711841</v>
      </c>
      <c r="AT12" s="70">
        <f t="shared" si="26"/>
        <v>118.59982648711841</v>
      </c>
    </row>
    <row r="13" spans="2:46" x14ac:dyDescent="0.25">
      <c r="B13" s="62" t="s">
        <v>24</v>
      </c>
      <c r="C13" s="63">
        <v>0</v>
      </c>
      <c r="D13" s="64">
        <v>18</v>
      </c>
      <c r="E13" s="65">
        <v>960.3</v>
      </c>
      <c r="F13" s="135">
        <v>27.21</v>
      </c>
      <c r="G13" s="66">
        <v>0</v>
      </c>
      <c r="H13" s="67">
        <f t="shared" si="0"/>
        <v>27.21</v>
      </c>
      <c r="I13" s="135">
        <v>17.03</v>
      </c>
      <c r="J13" s="66">
        <v>0</v>
      </c>
      <c r="K13" s="68">
        <f t="shared" si="2"/>
        <v>17.03</v>
      </c>
      <c r="L13" s="135">
        <v>12.93</v>
      </c>
      <c r="M13" s="66">
        <v>0</v>
      </c>
      <c r="N13" s="67">
        <f t="shared" si="4"/>
        <v>12.93</v>
      </c>
      <c r="O13" s="135">
        <v>8.26</v>
      </c>
      <c r="P13" s="66">
        <v>0</v>
      </c>
      <c r="Q13" s="68">
        <f t="shared" si="6"/>
        <v>8.26</v>
      </c>
      <c r="R13" s="28">
        <v>0</v>
      </c>
      <c r="S13" s="66">
        <v>0</v>
      </c>
      <c r="T13" s="67">
        <f t="shared" si="8"/>
        <v>0</v>
      </c>
      <c r="U13" s="29">
        <v>0</v>
      </c>
      <c r="V13" s="66">
        <v>0</v>
      </c>
      <c r="W13" s="68">
        <f t="shared" si="10"/>
        <v>0</v>
      </c>
      <c r="X13" s="28">
        <v>0</v>
      </c>
      <c r="Y13" s="66">
        <v>0</v>
      </c>
      <c r="Z13" s="67">
        <f t="shared" si="12"/>
        <v>0</v>
      </c>
      <c r="AA13" s="29">
        <v>0</v>
      </c>
      <c r="AB13" s="66">
        <v>0</v>
      </c>
      <c r="AC13" s="68">
        <f t="shared" si="14"/>
        <v>0</v>
      </c>
      <c r="AD13" s="28">
        <v>0</v>
      </c>
      <c r="AE13" s="66">
        <v>0</v>
      </c>
      <c r="AF13" s="67">
        <f t="shared" si="16"/>
        <v>0</v>
      </c>
      <c r="AG13" s="135">
        <v>7.06</v>
      </c>
      <c r="AH13" s="66">
        <v>0</v>
      </c>
      <c r="AI13" s="68">
        <f t="shared" si="18"/>
        <v>7.06</v>
      </c>
      <c r="AJ13" s="135">
        <f>144.3-130.26</f>
        <v>14.04000000000002</v>
      </c>
      <c r="AK13" s="66">
        <v>0</v>
      </c>
      <c r="AL13" s="67">
        <f t="shared" si="20"/>
        <v>14.04000000000002</v>
      </c>
      <c r="AM13" s="135">
        <v>20.440000000000001</v>
      </c>
      <c r="AN13" s="66">
        <v>0</v>
      </c>
      <c r="AO13" s="68">
        <f t="shared" si="22"/>
        <v>20.440000000000001</v>
      </c>
      <c r="AP13" s="69">
        <f t="shared" si="23"/>
        <v>106.97000000000003</v>
      </c>
      <c r="AQ13" s="66">
        <f t="shared" si="23"/>
        <v>0</v>
      </c>
      <c r="AR13" s="68">
        <f t="shared" si="24"/>
        <v>106.97000000000003</v>
      </c>
      <c r="AS13" s="70">
        <f t="shared" si="25"/>
        <v>111.39227324794339</v>
      </c>
      <c r="AT13" s="70">
        <f t="shared" si="26"/>
        <v>111.39227324794339</v>
      </c>
    </row>
    <row r="14" spans="2:46" x14ac:dyDescent="0.25">
      <c r="B14" s="62" t="s">
        <v>25</v>
      </c>
      <c r="C14" s="63">
        <v>0</v>
      </c>
      <c r="D14" s="64">
        <v>18</v>
      </c>
      <c r="E14" s="65">
        <v>1001.3</v>
      </c>
      <c r="F14" s="135">
        <v>33.549999999999997</v>
      </c>
      <c r="G14" s="66">
        <v>0</v>
      </c>
      <c r="H14" s="67">
        <f t="shared" si="0"/>
        <v>33.549999999999997</v>
      </c>
      <c r="I14" s="135">
        <v>20.93</v>
      </c>
      <c r="J14" s="66">
        <v>0</v>
      </c>
      <c r="K14" s="68">
        <f t="shared" si="2"/>
        <v>20.93</v>
      </c>
      <c r="L14" s="135">
        <v>15.75</v>
      </c>
      <c r="M14" s="66">
        <v>0</v>
      </c>
      <c r="N14" s="67">
        <f t="shared" si="4"/>
        <v>15.75</v>
      </c>
      <c r="O14" s="135">
        <v>10.98</v>
      </c>
      <c r="P14" s="66">
        <v>0</v>
      </c>
      <c r="Q14" s="68">
        <f t="shared" si="6"/>
        <v>10.98</v>
      </c>
      <c r="R14" s="28">
        <v>0</v>
      </c>
      <c r="S14" s="66">
        <v>0</v>
      </c>
      <c r="T14" s="67">
        <f t="shared" si="8"/>
        <v>0</v>
      </c>
      <c r="U14" s="29">
        <v>0</v>
      </c>
      <c r="V14" s="66">
        <v>0</v>
      </c>
      <c r="W14" s="68">
        <f t="shared" si="10"/>
        <v>0</v>
      </c>
      <c r="X14" s="28">
        <v>0</v>
      </c>
      <c r="Y14" s="66">
        <v>0</v>
      </c>
      <c r="Z14" s="67">
        <f t="shared" si="12"/>
        <v>0</v>
      </c>
      <c r="AA14" s="29">
        <v>0</v>
      </c>
      <c r="AB14" s="66">
        <v>0</v>
      </c>
      <c r="AC14" s="68">
        <f t="shared" si="14"/>
        <v>0</v>
      </c>
      <c r="AD14" s="28">
        <v>0</v>
      </c>
      <c r="AE14" s="66">
        <v>0</v>
      </c>
      <c r="AF14" s="67">
        <f t="shared" si="16"/>
        <v>0</v>
      </c>
      <c r="AG14" s="135">
        <v>8.82</v>
      </c>
      <c r="AH14" s="66">
        <v>0</v>
      </c>
      <c r="AI14" s="68">
        <f t="shared" si="18"/>
        <v>8.82</v>
      </c>
      <c r="AJ14" s="135">
        <f>424.47-406.76</f>
        <v>17.710000000000036</v>
      </c>
      <c r="AK14" s="66">
        <v>0</v>
      </c>
      <c r="AL14" s="67">
        <f t="shared" si="20"/>
        <v>17.710000000000036</v>
      </c>
      <c r="AM14" s="135">
        <v>26.11</v>
      </c>
      <c r="AN14" s="66">
        <v>0</v>
      </c>
      <c r="AO14" s="68">
        <f t="shared" si="22"/>
        <v>26.11</v>
      </c>
      <c r="AP14" s="69">
        <f t="shared" si="23"/>
        <v>133.85000000000002</v>
      </c>
      <c r="AQ14" s="66">
        <f t="shared" si="23"/>
        <v>0</v>
      </c>
      <c r="AR14" s="68">
        <f t="shared" si="24"/>
        <v>133.85000000000002</v>
      </c>
      <c r="AS14" s="70">
        <f t="shared" si="25"/>
        <v>133.67622091281339</v>
      </c>
      <c r="AT14" s="70">
        <f t="shared" si="26"/>
        <v>133.67622091281339</v>
      </c>
    </row>
    <row r="15" spans="2:46" x14ac:dyDescent="0.25">
      <c r="B15" s="62" t="s">
        <v>26</v>
      </c>
      <c r="C15" s="63">
        <v>0</v>
      </c>
      <c r="D15" s="64">
        <v>3</v>
      </c>
      <c r="E15" s="65">
        <v>148.30000000000001</v>
      </c>
      <c r="F15" s="135">
        <v>5.93</v>
      </c>
      <c r="G15" s="66">
        <v>0</v>
      </c>
      <c r="H15" s="67">
        <f t="shared" si="0"/>
        <v>5.93</v>
      </c>
      <c r="I15" s="135">
        <v>3.49</v>
      </c>
      <c r="J15" s="66">
        <v>0</v>
      </c>
      <c r="K15" s="68">
        <f t="shared" si="2"/>
        <v>3.49</v>
      </c>
      <c r="L15" s="135">
        <v>3.12</v>
      </c>
      <c r="M15" s="66">
        <v>0</v>
      </c>
      <c r="N15" s="67">
        <f t="shared" si="4"/>
        <v>3.12</v>
      </c>
      <c r="O15" s="135">
        <v>1.07</v>
      </c>
      <c r="P15" s="66">
        <v>0</v>
      </c>
      <c r="Q15" s="68">
        <f t="shared" si="6"/>
        <v>1.07</v>
      </c>
      <c r="R15" s="28">
        <v>0</v>
      </c>
      <c r="S15" s="66">
        <v>0</v>
      </c>
      <c r="T15" s="67">
        <f t="shared" si="8"/>
        <v>0</v>
      </c>
      <c r="U15" s="29">
        <v>0</v>
      </c>
      <c r="V15" s="66">
        <v>0</v>
      </c>
      <c r="W15" s="68">
        <f t="shared" si="10"/>
        <v>0</v>
      </c>
      <c r="X15" s="28">
        <v>0</v>
      </c>
      <c r="Y15" s="66">
        <v>0</v>
      </c>
      <c r="Z15" s="67">
        <f t="shared" si="12"/>
        <v>0</v>
      </c>
      <c r="AA15" s="29">
        <v>0</v>
      </c>
      <c r="AB15" s="66">
        <v>0</v>
      </c>
      <c r="AC15" s="68">
        <f t="shared" si="14"/>
        <v>0</v>
      </c>
      <c r="AD15" s="28">
        <v>0</v>
      </c>
      <c r="AE15" s="66">
        <v>0</v>
      </c>
      <c r="AF15" s="67">
        <f t="shared" si="16"/>
        <v>0</v>
      </c>
      <c r="AG15" s="135">
        <v>1.41</v>
      </c>
      <c r="AH15" s="66">
        <v>0</v>
      </c>
      <c r="AI15" s="68">
        <f t="shared" si="18"/>
        <v>1.41</v>
      </c>
      <c r="AJ15" s="135">
        <f>261.43-258.59</f>
        <v>2.8400000000000318</v>
      </c>
      <c r="AK15" s="66">
        <v>0</v>
      </c>
      <c r="AL15" s="67">
        <f t="shared" si="20"/>
        <v>2.8400000000000318</v>
      </c>
      <c r="AM15" s="135">
        <v>4.07</v>
      </c>
      <c r="AN15" s="66">
        <v>0</v>
      </c>
      <c r="AO15" s="68">
        <f t="shared" si="22"/>
        <v>4.07</v>
      </c>
      <c r="AP15" s="29">
        <f t="shared" si="23"/>
        <v>21.930000000000032</v>
      </c>
      <c r="AQ15" s="66">
        <f t="shared" si="23"/>
        <v>0</v>
      </c>
      <c r="AR15" s="68">
        <f t="shared" si="24"/>
        <v>21.930000000000032</v>
      </c>
      <c r="AS15" s="70">
        <f t="shared" si="25"/>
        <v>147.87592717464619</v>
      </c>
      <c r="AT15" s="70">
        <f t="shared" si="26"/>
        <v>147.87592717464619</v>
      </c>
    </row>
    <row r="16" spans="2:46" x14ac:dyDescent="0.25">
      <c r="B16" s="49" t="s">
        <v>40</v>
      </c>
      <c r="C16" s="91">
        <f t="shared" ref="C16:C17" si="27">D16</f>
        <v>41</v>
      </c>
      <c r="D16" s="51">
        <v>41</v>
      </c>
      <c r="E16" s="92">
        <v>2294.5</v>
      </c>
      <c r="F16" s="123">
        <v>76.44</v>
      </c>
      <c r="G16" s="93">
        <f t="shared" ref="G16:G17" si="28">C49*0.06</f>
        <v>0</v>
      </c>
      <c r="H16" s="94">
        <f t="shared" si="0"/>
        <v>76.44</v>
      </c>
      <c r="I16" s="123">
        <v>71.5</v>
      </c>
      <c r="J16" s="93">
        <f t="shared" ref="J16:J17" si="29">D49*0.06</f>
        <v>0</v>
      </c>
      <c r="K16" s="95">
        <f t="shared" si="2"/>
        <v>71.5</v>
      </c>
      <c r="L16" s="123">
        <v>47.76</v>
      </c>
      <c r="M16" s="93">
        <f t="shared" ref="M16:M17" si="30">E49*0.06</f>
        <v>0</v>
      </c>
      <c r="N16" s="94">
        <f t="shared" si="4"/>
        <v>47.76</v>
      </c>
      <c r="O16" s="123">
        <v>35.01</v>
      </c>
      <c r="P16" s="93">
        <f t="shared" ref="P16:P17" si="31">F49*0.06</f>
        <v>0</v>
      </c>
      <c r="Q16" s="95">
        <f t="shared" si="6"/>
        <v>35.01</v>
      </c>
      <c r="R16" s="123">
        <v>16.79</v>
      </c>
      <c r="S16" s="93">
        <f t="shared" ref="S16:S17" si="32">G49*0.06</f>
        <v>0</v>
      </c>
      <c r="T16" s="94">
        <f t="shared" si="8"/>
        <v>16.79</v>
      </c>
      <c r="U16" s="123">
        <v>16.62</v>
      </c>
      <c r="V16" s="93">
        <f t="shared" ref="V16:V17" si="33">H49*0.06</f>
        <v>0</v>
      </c>
      <c r="W16" s="95">
        <f t="shared" si="10"/>
        <v>16.62</v>
      </c>
      <c r="X16" s="123">
        <v>15</v>
      </c>
      <c r="Y16" s="93">
        <f t="shared" ref="Y16:Y17" si="34">I49*0.06</f>
        <v>0</v>
      </c>
      <c r="Z16" s="94">
        <f t="shared" si="12"/>
        <v>15</v>
      </c>
      <c r="AA16" s="123">
        <v>13.32</v>
      </c>
      <c r="AB16" s="93">
        <f t="shared" ref="AB16:AB17" si="35">J49*0.06</f>
        <v>0</v>
      </c>
      <c r="AC16" s="95">
        <f t="shared" si="14"/>
        <v>13.32</v>
      </c>
      <c r="AD16" s="123">
        <v>15.89</v>
      </c>
      <c r="AE16" s="93">
        <f t="shared" ref="AE16:AE17" si="36">K49*0.06</f>
        <v>0</v>
      </c>
      <c r="AF16" s="94">
        <f t="shared" si="16"/>
        <v>15.89</v>
      </c>
      <c r="AG16" s="123">
        <v>30.84</v>
      </c>
      <c r="AH16" s="93">
        <f t="shared" ref="AH16:AH17" si="37">L49*0.06</f>
        <v>0</v>
      </c>
      <c r="AI16" s="95">
        <f t="shared" si="18"/>
        <v>30.84</v>
      </c>
      <c r="AJ16" s="123">
        <f>4257.76-4203.27</f>
        <v>54.489999999999782</v>
      </c>
      <c r="AK16" s="93">
        <f t="shared" ref="AK16:AK17" si="38">M49*0.06</f>
        <v>0</v>
      </c>
      <c r="AL16" s="94">
        <f t="shared" si="20"/>
        <v>54.489999999999782</v>
      </c>
      <c r="AM16" s="123">
        <f>4323.37-4257.76</f>
        <v>65.609999999999673</v>
      </c>
      <c r="AN16" s="93">
        <f t="shared" ref="AN16:AN17" si="39">N49*0.06</f>
        <v>0</v>
      </c>
      <c r="AO16" s="95">
        <f t="shared" si="22"/>
        <v>65.609999999999673</v>
      </c>
      <c r="AP16" s="96">
        <f t="shared" ref="AP16:AP17" si="40">F16+I16+L16+O16+R16+U16+X16+AA16+AD16+AG16+AJ16+AM16</f>
        <v>459.26999999999936</v>
      </c>
      <c r="AQ16" s="59">
        <f t="shared" ref="AQ16:AQ17" si="41">G16+J16+M16+P16+S16+V16+Y16+AB16+AE16+AH16+AK16+AN16</f>
        <v>0</v>
      </c>
      <c r="AR16" s="60">
        <f t="shared" ref="AR16:AR17" si="42">AP16-AQ16</f>
        <v>459.26999999999936</v>
      </c>
      <c r="AS16" s="97">
        <f t="shared" ref="AS16:AS17" si="43">AR16*1000/E16</f>
        <v>200.1612551754192</v>
      </c>
      <c r="AT16" s="98">
        <f t="shared" ref="AT16:AT17" si="44">AP16*1000/E16</f>
        <v>200.1612551754192</v>
      </c>
    </row>
    <row r="17" spans="1:46" x14ac:dyDescent="0.25">
      <c r="B17" s="49" t="s">
        <v>41</v>
      </c>
      <c r="C17" s="91">
        <f t="shared" si="27"/>
        <v>64</v>
      </c>
      <c r="D17" s="51">
        <v>64</v>
      </c>
      <c r="E17" s="92">
        <v>2257.1999999999998</v>
      </c>
      <c r="F17" s="123">
        <v>75.86</v>
      </c>
      <c r="G17" s="93">
        <f t="shared" si="28"/>
        <v>0</v>
      </c>
      <c r="H17" s="94">
        <f t="shared" si="0"/>
        <v>75.86</v>
      </c>
      <c r="I17" s="123">
        <v>81.73</v>
      </c>
      <c r="J17" s="93">
        <f t="shared" si="29"/>
        <v>0</v>
      </c>
      <c r="K17" s="95">
        <f t="shared" si="2"/>
        <v>81.73</v>
      </c>
      <c r="L17" s="123">
        <v>44.77</v>
      </c>
      <c r="M17" s="93">
        <f t="shared" si="30"/>
        <v>0</v>
      </c>
      <c r="N17" s="94">
        <f t="shared" si="4"/>
        <v>44.77</v>
      </c>
      <c r="O17" s="126">
        <v>40.54</v>
      </c>
      <c r="P17" s="93">
        <f t="shared" si="31"/>
        <v>0</v>
      </c>
      <c r="Q17" s="95">
        <f t="shared" si="6"/>
        <v>40.54</v>
      </c>
      <c r="R17" s="123">
        <v>16.54</v>
      </c>
      <c r="S17" s="93">
        <f t="shared" si="32"/>
        <v>0</v>
      </c>
      <c r="T17" s="94">
        <f t="shared" si="8"/>
        <v>16.54</v>
      </c>
      <c r="U17" s="123">
        <v>15.77</v>
      </c>
      <c r="V17" s="93">
        <f t="shared" si="33"/>
        <v>0</v>
      </c>
      <c r="W17" s="95">
        <f t="shared" si="10"/>
        <v>15.77</v>
      </c>
      <c r="X17" s="123">
        <v>14.6</v>
      </c>
      <c r="Y17" s="93">
        <f t="shared" si="34"/>
        <v>0</v>
      </c>
      <c r="Z17" s="94">
        <f t="shared" si="12"/>
        <v>14.6</v>
      </c>
      <c r="AA17" s="123">
        <v>13.99</v>
      </c>
      <c r="AB17" s="93">
        <f t="shared" si="35"/>
        <v>0</v>
      </c>
      <c r="AC17" s="95">
        <f t="shared" si="14"/>
        <v>13.99</v>
      </c>
      <c r="AD17" s="123">
        <v>16.72</v>
      </c>
      <c r="AE17" s="93">
        <f t="shared" si="36"/>
        <v>0</v>
      </c>
      <c r="AF17" s="94">
        <f t="shared" si="16"/>
        <v>16.72</v>
      </c>
      <c r="AG17" s="123">
        <v>29.58</v>
      </c>
      <c r="AH17" s="93">
        <f t="shared" si="37"/>
        <v>0</v>
      </c>
      <c r="AI17" s="95">
        <f t="shared" si="18"/>
        <v>29.58</v>
      </c>
      <c r="AJ17" s="123">
        <v>45.559999999999945</v>
      </c>
      <c r="AK17" s="93">
        <f t="shared" si="38"/>
        <v>0</v>
      </c>
      <c r="AL17" s="94">
        <f t="shared" si="20"/>
        <v>45.559999999999945</v>
      </c>
      <c r="AM17" s="123">
        <v>64.329999999999927</v>
      </c>
      <c r="AN17" s="93">
        <f t="shared" si="39"/>
        <v>0</v>
      </c>
      <c r="AO17" s="95">
        <f t="shared" si="22"/>
        <v>64.329999999999927</v>
      </c>
      <c r="AP17" s="96">
        <f t="shared" si="40"/>
        <v>459.98999999999984</v>
      </c>
      <c r="AQ17" s="59">
        <f t="shared" si="41"/>
        <v>0</v>
      </c>
      <c r="AR17" s="60">
        <f t="shared" si="42"/>
        <v>459.98999999999984</v>
      </c>
      <c r="AS17" s="97">
        <f t="shared" si="43"/>
        <v>203.78787878787873</v>
      </c>
      <c r="AT17" s="98">
        <f t="shared" si="44"/>
        <v>203.78787878787873</v>
      </c>
    </row>
    <row r="18" spans="1:46" ht="15.75" thickBot="1" x14ac:dyDescent="0.3">
      <c r="B18" s="71" t="s">
        <v>55</v>
      </c>
      <c r="C18" s="72">
        <v>0</v>
      </c>
      <c r="D18" s="73">
        <v>9</v>
      </c>
      <c r="E18" s="74">
        <v>363.2</v>
      </c>
      <c r="F18" s="136">
        <v>9.5299999999999994</v>
      </c>
      <c r="G18" s="76">
        <v>0</v>
      </c>
      <c r="H18" s="77">
        <f t="shared" si="0"/>
        <v>9.5299999999999994</v>
      </c>
      <c r="I18" s="136">
        <v>9.7729999999999997</v>
      </c>
      <c r="J18" s="76">
        <v>0</v>
      </c>
      <c r="K18" s="30">
        <f t="shared" si="2"/>
        <v>9.7729999999999997</v>
      </c>
      <c r="L18" s="75">
        <v>9.7799999999999994</v>
      </c>
      <c r="M18" s="76">
        <v>0</v>
      </c>
      <c r="N18" s="77">
        <f t="shared" si="4"/>
        <v>9.7799999999999994</v>
      </c>
      <c r="O18" s="31">
        <v>5.24</v>
      </c>
      <c r="P18" s="76">
        <v>0</v>
      </c>
      <c r="Q18" s="30">
        <f t="shared" si="6"/>
        <v>5.24</v>
      </c>
      <c r="R18" s="75">
        <v>0</v>
      </c>
      <c r="S18" s="76">
        <v>0</v>
      </c>
      <c r="T18" s="77">
        <f t="shared" si="8"/>
        <v>0</v>
      </c>
      <c r="U18" s="31">
        <v>0</v>
      </c>
      <c r="V18" s="76">
        <v>0</v>
      </c>
      <c r="W18" s="30">
        <f t="shared" si="10"/>
        <v>0</v>
      </c>
      <c r="X18" s="75">
        <v>0</v>
      </c>
      <c r="Y18" s="76">
        <v>0</v>
      </c>
      <c r="Z18" s="77">
        <f t="shared" si="12"/>
        <v>0</v>
      </c>
      <c r="AA18" s="31">
        <v>0</v>
      </c>
      <c r="AB18" s="76">
        <v>0</v>
      </c>
      <c r="AC18" s="30">
        <f t="shared" si="14"/>
        <v>0</v>
      </c>
      <c r="AD18" s="75">
        <v>0</v>
      </c>
      <c r="AE18" s="76">
        <v>0</v>
      </c>
      <c r="AF18" s="77">
        <f t="shared" si="16"/>
        <v>0</v>
      </c>
      <c r="AG18" s="31">
        <v>5.88</v>
      </c>
      <c r="AH18" s="76">
        <v>0</v>
      </c>
      <c r="AI18" s="30">
        <f t="shared" si="18"/>
        <v>5.88</v>
      </c>
      <c r="AJ18" s="75">
        <v>9.0500000000000007</v>
      </c>
      <c r="AK18" s="76">
        <v>0</v>
      </c>
      <c r="AL18" s="77">
        <f t="shared" si="20"/>
        <v>9.0500000000000007</v>
      </c>
      <c r="AM18" s="31">
        <v>10.18</v>
      </c>
      <c r="AN18" s="76">
        <v>0</v>
      </c>
      <c r="AO18" s="30">
        <f t="shared" si="22"/>
        <v>10.18</v>
      </c>
      <c r="AP18" s="31">
        <f t="shared" si="23"/>
        <v>59.433</v>
      </c>
      <c r="AQ18" s="76">
        <f t="shared" si="23"/>
        <v>0</v>
      </c>
      <c r="AR18" s="30">
        <f t="shared" si="24"/>
        <v>59.433</v>
      </c>
      <c r="AS18" s="78">
        <f t="shared" si="25"/>
        <v>163.63711453744494</v>
      </c>
      <c r="AT18" s="78">
        <f t="shared" si="26"/>
        <v>163.63711453744494</v>
      </c>
    </row>
    <row r="19" spans="1:46" ht="15.75" thickBot="1" x14ac:dyDescent="0.3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80"/>
      <c r="AQ19" s="80"/>
      <c r="AR19" s="20" t="s">
        <v>50</v>
      </c>
      <c r="AS19" s="21">
        <f>AVERAGE(AS7:AS18)</f>
        <v>141.48096890440516</v>
      </c>
      <c r="AT19" s="22">
        <f>AVERAGE(AT7:AT18)</f>
        <v>152.27221914674342</v>
      </c>
    </row>
    <row r="20" spans="1:46" ht="21.75" thickBot="1" x14ac:dyDescent="0.3">
      <c r="A20" s="79"/>
      <c r="B20" s="139"/>
      <c r="C20" s="149" t="s">
        <v>57</v>
      </c>
      <c r="D20" s="150"/>
      <c r="E20" s="150"/>
      <c r="F20" s="150"/>
      <c r="G20" s="150"/>
      <c r="H20" s="150"/>
      <c r="I20" s="150"/>
      <c r="J20" s="15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1"/>
    </row>
    <row r="21" spans="1:46" x14ac:dyDescent="0.25">
      <c r="A21" s="79"/>
      <c r="B21" s="152" t="s">
        <v>18</v>
      </c>
      <c r="C21" s="155" t="s">
        <v>1</v>
      </c>
      <c r="D21" s="156"/>
      <c r="E21" s="157" t="s">
        <v>17</v>
      </c>
      <c r="F21" s="160" t="s">
        <v>4</v>
      </c>
      <c r="G21" s="156"/>
      <c r="H21" s="161"/>
      <c r="I21" s="155" t="s">
        <v>5</v>
      </c>
      <c r="J21" s="156"/>
      <c r="K21" s="157"/>
      <c r="L21" s="160" t="s">
        <v>6</v>
      </c>
      <c r="M21" s="156"/>
      <c r="N21" s="161"/>
      <c r="O21" s="155" t="s">
        <v>7</v>
      </c>
      <c r="P21" s="156"/>
      <c r="Q21" s="157"/>
      <c r="R21" s="160" t="s">
        <v>8</v>
      </c>
      <c r="S21" s="156"/>
      <c r="T21" s="161"/>
      <c r="U21" s="155" t="s">
        <v>9</v>
      </c>
      <c r="V21" s="156"/>
      <c r="W21" s="157"/>
      <c r="X21" s="160" t="s">
        <v>10</v>
      </c>
      <c r="Y21" s="156"/>
      <c r="Z21" s="161"/>
      <c r="AA21" s="155" t="s">
        <v>11</v>
      </c>
      <c r="AB21" s="156"/>
      <c r="AC21" s="157"/>
      <c r="AD21" s="160" t="s">
        <v>12</v>
      </c>
      <c r="AE21" s="156"/>
      <c r="AF21" s="161"/>
      <c r="AG21" s="155" t="s">
        <v>13</v>
      </c>
      <c r="AH21" s="156"/>
      <c r="AI21" s="157"/>
      <c r="AJ21" s="160" t="s">
        <v>14</v>
      </c>
      <c r="AK21" s="156"/>
      <c r="AL21" s="161"/>
      <c r="AM21" s="155" t="s">
        <v>15</v>
      </c>
      <c r="AN21" s="156"/>
      <c r="AO21" s="157"/>
      <c r="AP21" s="155" t="s">
        <v>16</v>
      </c>
      <c r="AQ21" s="156"/>
      <c r="AR21" s="157"/>
      <c r="AS21" s="171" t="s">
        <v>28</v>
      </c>
      <c r="AT21" s="166" t="s">
        <v>51</v>
      </c>
    </row>
    <row r="22" spans="1:46" ht="15.75" thickBot="1" x14ac:dyDescent="0.3">
      <c r="A22" s="79"/>
      <c r="B22" s="153"/>
      <c r="C22" s="169" t="s">
        <v>2</v>
      </c>
      <c r="D22" s="170" t="s">
        <v>3</v>
      </c>
      <c r="E22" s="158"/>
      <c r="F22" s="162"/>
      <c r="G22" s="163"/>
      <c r="H22" s="164"/>
      <c r="I22" s="165"/>
      <c r="J22" s="163"/>
      <c r="K22" s="159"/>
      <c r="L22" s="162"/>
      <c r="M22" s="163"/>
      <c r="N22" s="164"/>
      <c r="O22" s="165"/>
      <c r="P22" s="163"/>
      <c r="Q22" s="159"/>
      <c r="R22" s="162"/>
      <c r="S22" s="163"/>
      <c r="T22" s="164"/>
      <c r="U22" s="165"/>
      <c r="V22" s="163"/>
      <c r="W22" s="159"/>
      <c r="X22" s="162"/>
      <c r="Y22" s="163"/>
      <c r="Z22" s="164"/>
      <c r="AA22" s="165"/>
      <c r="AB22" s="163"/>
      <c r="AC22" s="159"/>
      <c r="AD22" s="162"/>
      <c r="AE22" s="163"/>
      <c r="AF22" s="164"/>
      <c r="AG22" s="165"/>
      <c r="AH22" s="163"/>
      <c r="AI22" s="159"/>
      <c r="AJ22" s="162"/>
      <c r="AK22" s="163"/>
      <c r="AL22" s="164"/>
      <c r="AM22" s="165"/>
      <c r="AN22" s="163"/>
      <c r="AO22" s="159"/>
      <c r="AP22" s="165"/>
      <c r="AQ22" s="163"/>
      <c r="AR22" s="159"/>
      <c r="AS22" s="172"/>
      <c r="AT22" s="167"/>
    </row>
    <row r="23" spans="1:46" ht="15.75" thickBot="1" x14ac:dyDescent="0.3">
      <c r="A23" s="79"/>
      <c r="B23" s="154"/>
      <c r="C23" s="165"/>
      <c r="D23" s="163"/>
      <c r="E23" s="159"/>
      <c r="F23" s="23" t="s">
        <v>16</v>
      </c>
      <c r="G23" s="24" t="s">
        <v>29</v>
      </c>
      <c r="H23" s="25" t="s">
        <v>3</v>
      </c>
      <c r="I23" s="26" t="s">
        <v>16</v>
      </c>
      <c r="J23" s="24" t="s">
        <v>29</v>
      </c>
      <c r="K23" s="27" t="s">
        <v>3</v>
      </c>
      <c r="L23" s="23" t="s">
        <v>16</v>
      </c>
      <c r="M23" s="24" t="s">
        <v>29</v>
      </c>
      <c r="N23" s="25" t="s">
        <v>3</v>
      </c>
      <c r="O23" s="26" t="s">
        <v>16</v>
      </c>
      <c r="P23" s="24" t="s">
        <v>29</v>
      </c>
      <c r="Q23" s="27" t="s">
        <v>3</v>
      </c>
      <c r="R23" s="23" t="s">
        <v>16</v>
      </c>
      <c r="S23" s="24" t="s">
        <v>29</v>
      </c>
      <c r="T23" s="25" t="s">
        <v>3</v>
      </c>
      <c r="U23" s="26" t="s">
        <v>16</v>
      </c>
      <c r="V23" s="24" t="s">
        <v>29</v>
      </c>
      <c r="W23" s="27" t="s">
        <v>3</v>
      </c>
      <c r="X23" s="23" t="s">
        <v>16</v>
      </c>
      <c r="Y23" s="24" t="s">
        <v>29</v>
      </c>
      <c r="Z23" s="25" t="s">
        <v>3</v>
      </c>
      <c r="AA23" s="26" t="s">
        <v>16</v>
      </c>
      <c r="AB23" s="24" t="s">
        <v>29</v>
      </c>
      <c r="AC23" s="27" t="s">
        <v>3</v>
      </c>
      <c r="AD23" s="23" t="s">
        <v>16</v>
      </c>
      <c r="AE23" s="24" t="s">
        <v>29</v>
      </c>
      <c r="AF23" s="25" t="s">
        <v>3</v>
      </c>
      <c r="AG23" s="26" t="s">
        <v>16</v>
      </c>
      <c r="AH23" s="24" t="s">
        <v>29</v>
      </c>
      <c r="AI23" s="27" t="s">
        <v>3</v>
      </c>
      <c r="AJ23" s="23" t="s">
        <v>16</v>
      </c>
      <c r="AK23" s="24" t="s">
        <v>29</v>
      </c>
      <c r="AL23" s="25" t="s">
        <v>3</v>
      </c>
      <c r="AM23" s="26" t="s">
        <v>16</v>
      </c>
      <c r="AN23" s="24" t="s">
        <v>29</v>
      </c>
      <c r="AO23" s="27" t="s">
        <v>3</v>
      </c>
      <c r="AP23" s="26" t="s">
        <v>16</v>
      </c>
      <c r="AQ23" s="24" t="s">
        <v>29</v>
      </c>
      <c r="AR23" s="27" t="s">
        <v>3</v>
      </c>
      <c r="AS23" s="173"/>
      <c r="AT23" s="168"/>
    </row>
    <row r="24" spans="1:46" x14ac:dyDescent="0.25">
      <c r="A24" s="79"/>
      <c r="B24" s="81" t="s">
        <v>30</v>
      </c>
      <c r="C24" s="82">
        <f>D24</f>
        <v>24</v>
      </c>
      <c r="D24" s="83">
        <v>24</v>
      </c>
      <c r="E24" s="84">
        <v>1343.1</v>
      </c>
      <c r="F24" s="123">
        <v>26.07</v>
      </c>
      <c r="G24" s="85">
        <f t="shared" ref="G24:G33" si="45">C58*0.06</f>
        <v>3.48</v>
      </c>
      <c r="H24" s="86">
        <f>F24-G24</f>
        <v>22.59</v>
      </c>
      <c r="I24" s="123">
        <v>20.04</v>
      </c>
      <c r="J24" s="85">
        <f t="shared" ref="J24:J33" si="46">D58*0.06</f>
        <v>3.12</v>
      </c>
      <c r="K24" s="88">
        <f>I24-J24</f>
        <v>16.919999999999998</v>
      </c>
      <c r="L24" s="123">
        <v>13.27</v>
      </c>
      <c r="M24" s="85">
        <f t="shared" ref="M24:M33" si="47">E58*0.06</f>
        <v>3.2399999999999998</v>
      </c>
      <c r="N24" s="86">
        <f>L24-M24</f>
        <v>10.029999999999999</v>
      </c>
      <c r="O24" s="123">
        <v>9.25</v>
      </c>
      <c r="P24" s="85">
        <f t="shared" ref="P24:P33" si="48">F58*0.06</f>
        <v>2.94</v>
      </c>
      <c r="Q24" s="88">
        <f>O24-P24</f>
        <v>6.3100000000000005</v>
      </c>
      <c r="R24" s="123">
        <v>6.8</v>
      </c>
      <c r="S24" s="85">
        <f t="shared" ref="S24:S33" si="49">G58*0.06</f>
        <v>2.6999999999999997</v>
      </c>
      <c r="T24" s="86">
        <f>R24-S24</f>
        <v>4.0999999999999996</v>
      </c>
      <c r="U24" s="123">
        <v>5.97</v>
      </c>
      <c r="V24" s="85">
        <f t="shared" ref="V24:V33" si="50">H58*0.06</f>
        <v>2.58</v>
      </c>
      <c r="W24" s="88">
        <f>U24-V24</f>
        <v>3.3899999999999997</v>
      </c>
      <c r="X24" s="123">
        <v>5.46</v>
      </c>
      <c r="Y24" s="85">
        <f t="shared" ref="Y24:Y33" si="51">I58*0.06</f>
        <v>2.4</v>
      </c>
      <c r="Z24" s="86">
        <f>X24-Y24</f>
        <v>3.06</v>
      </c>
      <c r="AA24" s="123">
        <v>4.74</v>
      </c>
      <c r="AB24" s="85">
        <f t="shared" ref="AB24:AB33" si="52">J58*0.06</f>
        <v>2.1408</v>
      </c>
      <c r="AC24" s="88">
        <f>AA24-AB24</f>
        <v>2.5992000000000002</v>
      </c>
      <c r="AD24" s="123">
        <v>6.02</v>
      </c>
      <c r="AE24" s="85">
        <f t="shared" ref="AE24:AE33" si="53">K58*0.06</f>
        <v>2.6429999999999998</v>
      </c>
      <c r="AF24" s="86">
        <f>AD24-AE24</f>
        <v>3.3769999999999998</v>
      </c>
      <c r="AG24" s="123">
        <v>9.4700000000000006</v>
      </c>
      <c r="AH24" s="85">
        <f t="shared" ref="AH24:AH33" si="54">L58*0.06</f>
        <v>2.5013999999999998</v>
      </c>
      <c r="AI24" s="88">
        <f>AG24-AH24</f>
        <v>6.9686000000000003</v>
      </c>
      <c r="AJ24" s="123">
        <f>1538.61-1523.44</f>
        <v>15.169999999999845</v>
      </c>
      <c r="AK24" s="85">
        <f t="shared" ref="AK24:AK33" si="55">M58*0.06</f>
        <v>2.6357999999999997</v>
      </c>
      <c r="AL24" s="86">
        <f>AJ24-AK24</f>
        <v>12.534199999999846</v>
      </c>
      <c r="AM24" s="123">
        <f>1557.9-1538.61</f>
        <v>19.290000000000191</v>
      </c>
      <c r="AN24" s="85">
        <f t="shared" ref="AN24:AN33" si="56">N58*0.06</f>
        <v>2.6579999999999999</v>
      </c>
      <c r="AO24" s="88">
        <f>AM24-AN24</f>
        <v>16.63200000000019</v>
      </c>
      <c r="AP24" s="44">
        <f t="shared" si="23"/>
        <v>141.55000000000001</v>
      </c>
      <c r="AQ24" s="45">
        <f t="shared" si="23"/>
        <v>33.038999999999994</v>
      </c>
      <c r="AR24" s="46">
        <f t="shared" si="24"/>
        <v>108.51100000000002</v>
      </c>
      <c r="AS24" s="89">
        <f t="shared" si="25"/>
        <v>80.791452609634462</v>
      </c>
      <c r="AT24" s="90">
        <f t="shared" si="26"/>
        <v>105.39051448142358</v>
      </c>
    </row>
    <row r="25" spans="1:46" x14ac:dyDescent="0.25">
      <c r="A25" s="79"/>
      <c r="B25" s="49" t="s">
        <v>31</v>
      </c>
      <c r="C25" s="91">
        <f t="shared" ref="C25:C34" si="57">D25</f>
        <v>18</v>
      </c>
      <c r="D25" s="51">
        <v>18</v>
      </c>
      <c r="E25" s="92">
        <v>1083.3</v>
      </c>
      <c r="F25" s="123">
        <v>17.05</v>
      </c>
      <c r="G25" s="93">
        <f t="shared" si="45"/>
        <v>2.46</v>
      </c>
      <c r="H25" s="94">
        <f t="shared" ref="H25:H39" si="58">F25-G25</f>
        <v>14.59</v>
      </c>
      <c r="I25" s="123">
        <v>18.27</v>
      </c>
      <c r="J25" s="93">
        <f t="shared" si="46"/>
        <v>2.4</v>
      </c>
      <c r="K25" s="95">
        <f t="shared" ref="K25:K39" si="59">I25-J25</f>
        <v>15.87</v>
      </c>
      <c r="L25" s="123">
        <v>10.27</v>
      </c>
      <c r="M25" s="93">
        <f t="shared" si="47"/>
        <v>2.1</v>
      </c>
      <c r="N25" s="94">
        <f t="shared" ref="N25:N39" si="60">L25-M25</f>
        <v>8.17</v>
      </c>
      <c r="O25" s="123">
        <v>7.76</v>
      </c>
      <c r="P25" s="93">
        <f t="shared" si="48"/>
        <v>2.1</v>
      </c>
      <c r="Q25" s="95">
        <f t="shared" ref="Q25:Q39" si="61">O25-P25</f>
        <v>5.66</v>
      </c>
      <c r="R25" s="123">
        <v>4.09</v>
      </c>
      <c r="S25" s="93">
        <f t="shared" si="49"/>
        <v>2.16</v>
      </c>
      <c r="T25" s="94">
        <f t="shared" ref="T25:T39" si="62">R25-S25</f>
        <v>1.9299999999999997</v>
      </c>
      <c r="U25" s="123">
        <v>2.82</v>
      </c>
      <c r="V25" s="93">
        <f t="shared" si="50"/>
        <v>2.04</v>
      </c>
      <c r="W25" s="95">
        <f t="shared" ref="W25:W39" si="63">U25-V25</f>
        <v>0.7799999999999998</v>
      </c>
      <c r="X25" s="123">
        <v>2.77</v>
      </c>
      <c r="Y25" s="93">
        <f t="shared" si="51"/>
        <v>2.04</v>
      </c>
      <c r="Z25" s="94">
        <f t="shared" ref="Z25:Z39" si="64">X25-Y25</f>
        <v>0.73</v>
      </c>
      <c r="AA25" s="123">
        <f>1152.45-1149.97</f>
        <v>2.4800000000000182</v>
      </c>
      <c r="AB25" s="93">
        <f t="shared" si="52"/>
        <v>1.5329999999999999</v>
      </c>
      <c r="AC25" s="95">
        <f t="shared" ref="AC25:AC39" si="65">AA25-AB25</f>
        <v>0.94700000000001827</v>
      </c>
      <c r="AD25" s="123">
        <v>3.09</v>
      </c>
      <c r="AE25" s="93">
        <f t="shared" si="53"/>
        <v>1.6769999999999998</v>
      </c>
      <c r="AF25" s="94">
        <f t="shared" ref="AF25:AF39" si="66">AD25-AE25</f>
        <v>1.413</v>
      </c>
      <c r="AG25" s="123">
        <v>5.89</v>
      </c>
      <c r="AH25" s="93">
        <f t="shared" si="54"/>
        <v>2.6579999999999999</v>
      </c>
      <c r="AI25" s="95">
        <f t="shared" ref="AI25:AI39" si="67">AG25-AH25</f>
        <v>3.2319999999999998</v>
      </c>
      <c r="AJ25" s="123">
        <f>1173.98-1161.43</f>
        <v>12.549999999999955</v>
      </c>
      <c r="AK25" s="93">
        <f t="shared" si="55"/>
        <v>2.4521999999999999</v>
      </c>
      <c r="AL25" s="94">
        <f t="shared" ref="AL25:AL39" si="68">AJ25-AK25</f>
        <v>10.097799999999955</v>
      </c>
      <c r="AM25" s="123">
        <f>1190.3-1173.98</f>
        <v>16.319999999999936</v>
      </c>
      <c r="AN25" s="93">
        <f t="shared" si="56"/>
        <v>2.7989999999999999</v>
      </c>
      <c r="AO25" s="95">
        <f t="shared" ref="AO25:AO39" si="69">AM25-AN25</f>
        <v>13.520999999999937</v>
      </c>
      <c r="AP25" s="96">
        <f t="shared" si="23"/>
        <v>103.35999999999991</v>
      </c>
      <c r="AQ25" s="59">
        <f t="shared" si="23"/>
        <v>26.4192</v>
      </c>
      <c r="AR25" s="60">
        <f t="shared" si="24"/>
        <v>76.940799999999911</v>
      </c>
      <c r="AS25" s="97">
        <f t="shared" si="25"/>
        <v>71.024462291147344</v>
      </c>
      <c r="AT25" s="98">
        <f t="shared" si="26"/>
        <v>95.412166528200785</v>
      </c>
    </row>
    <row r="26" spans="1:46" x14ac:dyDescent="0.25">
      <c r="A26" s="79"/>
      <c r="B26" s="49" t="s">
        <v>32</v>
      </c>
      <c r="C26" s="91">
        <f t="shared" si="57"/>
        <v>24</v>
      </c>
      <c r="D26" s="51">
        <v>24</v>
      </c>
      <c r="E26" s="92">
        <v>1313.9</v>
      </c>
      <c r="F26" s="123">
        <v>22.23</v>
      </c>
      <c r="G26" s="93">
        <f t="shared" si="45"/>
        <v>3.6599999999999997</v>
      </c>
      <c r="H26" s="94">
        <f t="shared" si="58"/>
        <v>18.57</v>
      </c>
      <c r="I26" s="124">
        <v>9.86</v>
      </c>
      <c r="J26" s="93">
        <f t="shared" si="46"/>
        <v>3.06</v>
      </c>
      <c r="K26" s="95">
        <f t="shared" si="59"/>
        <v>6.7999999999999989</v>
      </c>
      <c r="L26" s="124">
        <v>22.23</v>
      </c>
      <c r="M26" s="93">
        <f t="shared" si="47"/>
        <v>3.12</v>
      </c>
      <c r="N26" s="94">
        <f t="shared" si="60"/>
        <v>19.11</v>
      </c>
      <c r="O26" s="123">
        <v>8.82</v>
      </c>
      <c r="P26" s="93">
        <f t="shared" si="48"/>
        <v>2.76</v>
      </c>
      <c r="Q26" s="95">
        <f t="shared" si="61"/>
        <v>6.0600000000000005</v>
      </c>
      <c r="R26" s="123">
        <v>6.41</v>
      </c>
      <c r="S26" s="93">
        <f t="shared" si="49"/>
        <v>2.88</v>
      </c>
      <c r="T26" s="94">
        <f t="shared" si="62"/>
        <v>3.5300000000000002</v>
      </c>
      <c r="U26" s="123">
        <v>5.92</v>
      </c>
      <c r="V26" s="93">
        <f t="shared" si="50"/>
        <v>2.6399999999999997</v>
      </c>
      <c r="W26" s="95">
        <f t="shared" si="63"/>
        <v>3.2800000000000002</v>
      </c>
      <c r="X26" s="123">
        <v>5.33</v>
      </c>
      <c r="Y26" s="93">
        <f t="shared" si="51"/>
        <v>2.6399999999999997</v>
      </c>
      <c r="Z26" s="94">
        <f t="shared" si="64"/>
        <v>2.6900000000000004</v>
      </c>
      <c r="AA26" s="123">
        <v>4.72</v>
      </c>
      <c r="AB26" s="93">
        <f t="shared" si="52"/>
        <v>2.1875999999999998</v>
      </c>
      <c r="AC26" s="95">
        <f t="shared" si="65"/>
        <v>2.5324</v>
      </c>
      <c r="AD26" s="123">
        <v>6.09</v>
      </c>
      <c r="AE26" s="93">
        <f t="shared" si="53"/>
        <v>3.1523999999999996</v>
      </c>
      <c r="AF26" s="94">
        <f t="shared" si="66"/>
        <v>2.9376000000000002</v>
      </c>
      <c r="AG26" s="123">
        <v>8.1999999999999993</v>
      </c>
      <c r="AH26" s="93">
        <f t="shared" si="54"/>
        <v>2.7095999999999996</v>
      </c>
      <c r="AI26" s="95">
        <f t="shared" si="67"/>
        <v>5.4903999999999993</v>
      </c>
      <c r="AJ26" s="123">
        <f>1529.57-1516.41</f>
        <v>13.159999999999854</v>
      </c>
      <c r="AK26" s="93">
        <f t="shared" si="55"/>
        <v>2.8271999999999999</v>
      </c>
      <c r="AL26" s="94">
        <f t="shared" si="68"/>
        <v>10.332799999999855</v>
      </c>
      <c r="AM26" s="123">
        <f>1547.21-1529.57</f>
        <v>17.6400000000001</v>
      </c>
      <c r="AN26" s="93">
        <f t="shared" si="56"/>
        <v>3.1692</v>
      </c>
      <c r="AO26" s="95">
        <f t="shared" si="69"/>
        <v>14.4708000000001</v>
      </c>
      <c r="AP26" s="96">
        <f t="shared" si="23"/>
        <v>130.60999999999996</v>
      </c>
      <c r="AQ26" s="59">
        <f t="shared" si="23"/>
        <v>34.805999999999997</v>
      </c>
      <c r="AR26" s="60">
        <f t="shared" si="24"/>
        <v>95.803999999999959</v>
      </c>
      <c r="AS26" s="97">
        <f t="shared" si="25"/>
        <v>72.915747012710213</v>
      </c>
      <c r="AT26" s="98">
        <f t="shared" si="26"/>
        <v>99.406347515031541</v>
      </c>
    </row>
    <row r="27" spans="1:46" x14ac:dyDescent="0.25">
      <c r="A27" s="79"/>
      <c r="B27" s="49" t="s">
        <v>33</v>
      </c>
      <c r="C27" s="91">
        <f t="shared" si="57"/>
        <v>18</v>
      </c>
      <c r="D27" s="51">
        <v>18</v>
      </c>
      <c r="E27" s="92">
        <v>1088.8</v>
      </c>
      <c r="F27" s="123">
        <v>16.77</v>
      </c>
      <c r="G27" s="93">
        <f t="shared" si="45"/>
        <v>2.82</v>
      </c>
      <c r="H27" s="94">
        <f t="shared" si="58"/>
        <v>13.95</v>
      </c>
      <c r="I27" s="123">
        <v>16.829999999999998</v>
      </c>
      <c r="J27" s="93">
        <f t="shared" si="46"/>
        <v>2.6399999999999997</v>
      </c>
      <c r="K27" s="95">
        <f t="shared" si="59"/>
        <v>14.189999999999998</v>
      </c>
      <c r="L27" s="123">
        <v>8.51</v>
      </c>
      <c r="M27" s="93">
        <f t="shared" si="47"/>
        <v>2.4</v>
      </c>
      <c r="N27" s="94">
        <f t="shared" si="60"/>
        <v>6.1099999999999994</v>
      </c>
      <c r="O27" s="123">
        <v>5.33</v>
      </c>
      <c r="P27" s="93">
        <f t="shared" si="48"/>
        <v>2.2199999999999998</v>
      </c>
      <c r="Q27" s="95">
        <f t="shared" si="61"/>
        <v>3.1100000000000003</v>
      </c>
      <c r="R27" s="123">
        <v>2.5</v>
      </c>
      <c r="S27" s="93">
        <f t="shared" si="49"/>
        <v>2.04</v>
      </c>
      <c r="T27" s="94">
        <f t="shared" si="62"/>
        <v>0.45999999999999996</v>
      </c>
      <c r="U27" s="123">
        <v>2.35</v>
      </c>
      <c r="V27" s="93">
        <f t="shared" si="50"/>
        <v>2.04</v>
      </c>
      <c r="W27" s="95">
        <f t="shared" si="63"/>
        <v>0.31000000000000005</v>
      </c>
      <c r="X27" s="123">
        <v>2.2400000000000002</v>
      </c>
      <c r="Y27" s="93">
        <f t="shared" si="51"/>
        <v>1.98</v>
      </c>
      <c r="Z27" s="94">
        <f t="shared" si="64"/>
        <v>0.26000000000000023</v>
      </c>
      <c r="AA27" s="123">
        <f>1020.23-1018.12</f>
        <v>2.1100000000000136</v>
      </c>
      <c r="AB27" s="93">
        <f t="shared" si="52"/>
        <v>1.8233999999999999</v>
      </c>
      <c r="AC27" s="95">
        <f t="shared" si="65"/>
        <v>0.28660000000001373</v>
      </c>
      <c r="AD27" s="123">
        <v>2.1800000000000002</v>
      </c>
      <c r="AE27" s="93">
        <f t="shared" si="53"/>
        <v>1.6314</v>
      </c>
      <c r="AF27" s="94">
        <f t="shared" si="66"/>
        <v>0.5486000000000002</v>
      </c>
      <c r="AG27" s="123">
        <v>5.05</v>
      </c>
      <c r="AH27" s="93">
        <f t="shared" si="54"/>
        <v>1.7285999999999999</v>
      </c>
      <c r="AI27" s="95">
        <f t="shared" si="67"/>
        <v>3.3213999999999997</v>
      </c>
      <c r="AJ27" s="123">
        <f>1037.48-1027.46</f>
        <v>10.019999999999982</v>
      </c>
      <c r="AK27" s="93">
        <f t="shared" si="55"/>
        <v>2.0394000000000001</v>
      </c>
      <c r="AL27" s="94">
        <f t="shared" si="68"/>
        <v>7.9805999999999813</v>
      </c>
      <c r="AM27" s="123">
        <f>1053.23-1037.48</f>
        <v>15.75</v>
      </c>
      <c r="AN27" s="93">
        <f t="shared" si="56"/>
        <v>2.1162000000000001</v>
      </c>
      <c r="AO27" s="95">
        <f t="shared" si="69"/>
        <v>13.633800000000001</v>
      </c>
      <c r="AP27" s="96">
        <f t="shared" si="23"/>
        <v>89.639999999999986</v>
      </c>
      <c r="AQ27" s="59">
        <f t="shared" si="23"/>
        <v>25.478999999999996</v>
      </c>
      <c r="AR27" s="60">
        <f t="shared" si="24"/>
        <v>64.160999999999987</v>
      </c>
      <c r="AS27" s="97">
        <f t="shared" si="25"/>
        <v>58.928177810433496</v>
      </c>
      <c r="AT27" s="98">
        <f t="shared" si="26"/>
        <v>82.329169728141068</v>
      </c>
    </row>
    <row r="28" spans="1:46" x14ac:dyDescent="0.25">
      <c r="A28" s="79"/>
      <c r="B28" s="49" t="s">
        <v>34</v>
      </c>
      <c r="C28" s="91">
        <f t="shared" si="57"/>
        <v>12</v>
      </c>
      <c r="D28" s="51">
        <v>12</v>
      </c>
      <c r="E28" s="92">
        <v>723.6</v>
      </c>
      <c r="F28" s="123">
        <v>17.3</v>
      </c>
      <c r="G28" s="93">
        <f t="shared" si="45"/>
        <v>3.2399999999999998</v>
      </c>
      <c r="H28" s="94">
        <f t="shared" si="58"/>
        <v>14.06</v>
      </c>
      <c r="I28" s="123">
        <v>10.3</v>
      </c>
      <c r="J28" s="93">
        <f t="shared" si="46"/>
        <v>2.76</v>
      </c>
      <c r="K28" s="95">
        <f t="shared" si="59"/>
        <v>7.5400000000000009</v>
      </c>
      <c r="L28" s="123">
        <v>7.88</v>
      </c>
      <c r="M28" s="93">
        <f t="shared" si="47"/>
        <v>2.2799999999999998</v>
      </c>
      <c r="N28" s="94">
        <f t="shared" si="60"/>
        <v>5.6</v>
      </c>
      <c r="O28" s="123">
        <v>6.23</v>
      </c>
      <c r="P28" s="93">
        <f t="shared" si="48"/>
        <v>2.4</v>
      </c>
      <c r="Q28" s="95">
        <f t="shared" si="61"/>
        <v>3.8300000000000005</v>
      </c>
      <c r="R28" s="123">
        <v>3.8</v>
      </c>
      <c r="S28" s="93">
        <f t="shared" si="49"/>
        <v>2.2199999999999998</v>
      </c>
      <c r="T28" s="94">
        <f t="shared" si="62"/>
        <v>1.58</v>
      </c>
      <c r="U28" s="123">
        <v>2.5299999999999998</v>
      </c>
      <c r="V28" s="93">
        <f t="shared" si="50"/>
        <v>2.16</v>
      </c>
      <c r="W28" s="95">
        <f t="shared" si="63"/>
        <v>0.36999999999999966</v>
      </c>
      <c r="X28" s="123">
        <v>2.3199999999999998</v>
      </c>
      <c r="Y28" s="93">
        <f t="shared" si="51"/>
        <v>2.1</v>
      </c>
      <c r="Z28" s="94">
        <f t="shared" si="64"/>
        <v>0.21999999999999975</v>
      </c>
      <c r="AA28" s="123">
        <f>657.86-655.66</f>
        <v>2.2000000000000455</v>
      </c>
      <c r="AB28" s="93">
        <f t="shared" si="52"/>
        <v>1.9704000000000002</v>
      </c>
      <c r="AC28" s="95">
        <f t="shared" si="65"/>
        <v>0.22960000000004532</v>
      </c>
      <c r="AD28" s="123">
        <v>2.44</v>
      </c>
      <c r="AE28" s="93">
        <f t="shared" si="53"/>
        <v>2.1414</v>
      </c>
      <c r="AF28" s="94">
        <f t="shared" si="66"/>
        <v>0.29859999999999998</v>
      </c>
      <c r="AG28" s="123">
        <v>5.22</v>
      </c>
      <c r="AH28" s="93">
        <f t="shared" si="54"/>
        <v>2.2061999999999999</v>
      </c>
      <c r="AI28" s="95">
        <f t="shared" si="67"/>
        <v>3.0137999999999998</v>
      </c>
      <c r="AJ28" s="123">
        <f>674.2-665.52</f>
        <v>8.6800000000000637</v>
      </c>
      <c r="AK28" s="93">
        <f t="shared" si="55"/>
        <v>1.7693999999999999</v>
      </c>
      <c r="AL28" s="94">
        <f t="shared" si="68"/>
        <v>6.9106000000000636</v>
      </c>
      <c r="AM28" s="123">
        <f>686.17-674.2</f>
        <v>11.969999999999914</v>
      </c>
      <c r="AN28" s="93">
        <f t="shared" si="56"/>
        <v>2.0442</v>
      </c>
      <c r="AO28" s="95">
        <f t="shared" si="69"/>
        <v>9.9257999999999136</v>
      </c>
      <c r="AP28" s="96">
        <f t="shared" si="23"/>
        <v>80.870000000000033</v>
      </c>
      <c r="AQ28" s="59">
        <f t="shared" si="23"/>
        <v>27.291600000000003</v>
      </c>
      <c r="AR28" s="60">
        <f t="shared" si="24"/>
        <v>53.57840000000003</v>
      </c>
      <c r="AS28" s="97">
        <f t="shared" si="25"/>
        <v>74.044223327805454</v>
      </c>
      <c r="AT28" s="98">
        <f t="shared" si="26"/>
        <v>111.76064123825321</v>
      </c>
    </row>
    <row r="29" spans="1:46" x14ac:dyDescent="0.25">
      <c r="A29" s="79"/>
      <c r="B29" s="49" t="s">
        <v>35</v>
      </c>
      <c r="C29" s="91">
        <f t="shared" si="57"/>
        <v>32</v>
      </c>
      <c r="D29" s="51">
        <v>32</v>
      </c>
      <c r="E29" s="92">
        <v>1670.8</v>
      </c>
      <c r="F29" s="123">
        <v>35.64</v>
      </c>
      <c r="G29" s="93">
        <f t="shared" si="45"/>
        <v>4.1399999999999997</v>
      </c>
      <c r="H29" s="94">
        <f t="shared" si="58"/>
        <v>31.5</v>
      </c>
      <c r="I29" s="123">
        <v>24.33</v>
      </c>
      <c r="J29" s="93">
        <f t="shared" si="46"/>
        <v>3.5999999999999996</v>
      </c>
      <c r="K29" s="95">
        <f t="shared" si="59"/>
        <v>20.729999999999997</v>
      </c>
      <c r="L29" s="123">
        <v>16.18</v>
      </c>
      <c r="M29" s="93">
        <f t="shared" si="47"/>
        <v>4.0199999999999996</v>
      </c>
      <c r="N29" s="94">
        <f t="shared" si="60"/>
        <v>12.16</v>
      </c>
      <c r="O29" s="123">
        <v>10.69</v>
      </c>
      <c r="P29" s="93">
        <f t="shared" si="48"/>
        <v>3.96</v>
      </c>
      <c r="Q29" s="95">
        <f t="shared" si="61"/>
        <v>6.7299999999999995</v>
      </c>
      <c r="R29" s="123">
        <v>7.49</v>
      </c>
      <c r="S29" s="93">
        <f t="shared" si="49"/>
        <v>3.6599999999999997</v>
      </c>
      <c r="T29" s="94">
        <f t="shared" si="62"/>
        <v>3.8300000000000005</v>
      </c>
      <c r="U29" s="123">
        <v>6.27</v>
      </c>
      <c r="V29" s="93">
        <f t="shared" si="50"/>
        <v>3.5999999999999996</v>
      </c>
      <c r="W29" s="95">
        <f t="shared" si="63"/>
        <v>2.67</v>
      </c>
      <c r="X29" s="123">
        <v>5.88</v>
      </c>
      <c r="Y29" s="93">
        <f t="shared" si="51"/>
        <v>3.6599999999999997</v>
      </c>
      <c r="Z29" s="94">
        <f t="shared" si="64"/>
        <v>2.2200000000000002</v>
      </c>
      <c r="AA29" s="123">
        <v>5.08</v>
      </c>
      <c r="AB29" s="93">
        <f t="shared" si="52"/>
        <v>3.2934000000000001</v>
      </c>
      <c r="AC29" s="95">
        <f t="shared" si="65"/>
        <v>1.7866</v>
      </c>
      <c r="AD29" s="123">
        <v>5.35</v>
      </c>
      <c r="AE29" s="93">
        <f t="shared" si="53"/>
        <v>3.48</v>
      </c>
      <c r="AF29" s="94">
        <f t="shared" si="66"/>
        <v>1.8699999999999997</v>
      </c>
      <c r="AG29" s="123">
        <v>11.46</v>
      </c>
      <c r="AH29" s="93">
        <f t="shared" si="54"/>
        <v>3.504</v>
      </c>
      <c r="AI29" s="95">
        <f t="shared" si="67"/>
        <v>7.9560000000000013</v>
      </c>
      <c r="AJ29" s="123">
        <f>2281.99-2263.26</f>
        <v>18.729999999999563</v>
      </c>
      <c r="AK29" s="93">
        <f t="shared" si="55"/>
        <v>3.8148</v>
      </c>
      <c r="AL29" s="94">
        <f t="shared" si="68"/>
        <v>14.915199999999563</v>
      </c>
      <c r="AM29" s="123">
        <f>2306.4-2281.99</f>
        <v>24.410000000000309</v>
      </c>
      <c r="AN29" s="93">
        <f t="shared" si="56"/>
        <v>4.1322000000000001</v>
      </c>
      <c r="AO29" s="95">
        <f t="shared" si="69"/>
        <v>20.277800000000308</v>
      </c>
      <c r="AP29" s="96">
        <f t="shared" si="23"/>
        <v>171.50999999999985</v>
      </c>
      <c r="AQ29" s="59">
        <f t="shared" si="23"/>
        <v>44.864399999999989</v>
      </c>
      <c r="AR29" s="60">
        <f t="shared" si="24"/>
        <v>126.64559999999986</v>
      </c>
      <c r="AS29" s="97">
        <f t="shared" si="25"/>
        <v>75.799377543691563</v>
      </c>
      <c r="AT29" s="98">
        <f t="shared" si="26"/>
        <v>102.65142446732096</v>
      </c>
    </row>
    <row r="30" spans="1:46" x14ac:dyDescent="0.25">
      <c r="A30" s="79"/>
      <c r="B30" s="49" t="s">
        <v>36</v>
      </c>
      <c r="C30" s="91">
        <f t="shared" si="57"/>
        <v>18</v>
      </c>
      <c r="D30" s="51">
        <v>18</v>
      </c>
      <c r="E30" s="92">
        <v>941.2</v>
      </c>
      <c r="F30" s="123">
        <v>14.5</v>
      </c>
      <c r="G30" s="93">
        <f t="shared" si="45"/>
        <v>2.52</v>
      </c>
      <c r="H30" s="94">
        <f t="shared" si="58"/>
        <v>11.98</v>
      </c>
      <c r="I30" s="123">
        <v>14.39</v>
      </c>
      <c r="J30" s="93">
        <f t="shared" si="46"/>
        <v>2.6399999999999997</v>
      </c>
      <c r="K30" s="95">
        <f t="shared" si="59"/>
        <v>11.75</v>
      </c>
      <c r="L30" s="123">
        <v>8.5</v>
      </c>
      <c r="M30" s="93">
        <f t="shared" si="47"/>
        <v>2.4</v>
      </c>
      <c r="N30" s="94">
        <f t="shared" si="60"/>
        <v>6.1</v>
      </c>
      <c r="O30" s="123">
        <v>6.67</v>
      </c>
      <c r="P30" s="93">
        <f t="shared" si="48"/>
        <v>2.76</v>
      </c>
      <c r="Q30" s="95">
        <f t="shared" si="61"/>
        <v>3.91</v>
      </c>
      <c r="R30" s="123">
        <v>4.18</v>
      </c>
      <c r="S30" s="93">
        <f t="shared" si="49"/>
        <v>2.52</v>
      </c>
      <c r="T30" s="94">
        <f t="shared" si="62"/>
        <v>1.6599999999999997</v>
      </c>
      <c r="U30" s="123">
        <v>2.86</v>
      </c>
      <c r="V30" s="93">
        <f t="shared" si="50"/>
        <v>1.74</v>
      </c>
      <c r="W30" s="95">
        <f t="shared" si="63"/>
        <v>1.1199999999999999</v>
      </c>
      <c r="X30" s="123">
        <v>2.5499999999999998</v>
      </c>
      <c r="Y30" s="93">
        <f t="shared" si="51"/>
        <v>2.04</v>
      </c>
      <c r="Z30" s="94">
        <f t="shared" si="64"/>
        <v>0.50999999999999979</v>
      </c>
      <c r="AA30" s="123">
        <v>2.61</v>
      </c>
      <c r="AB30" s="93">
        <f t="shared" si="52"/>
        <v>1.92</v>
      </c>
      <c r="AC30" s="95">
        <f t="shared" si="65"/>
        <v>0.69</v>
      </c>
      <c r="AD30" s="123">
        <v>3.15</v>
      </c>
      <c r="AE30" s="93">
        <f t="shared" si="53"/>
        <v>2.6399999999999997</v>
      </c>
      <c r="AF30" s="94">
        <f t="shared" si="66"/>
        <v>0.51000000000000023</v>
      </c>
      <c r="AG30" s="123">
        <v>5.43</v>
      </c>
      <c r="AH30" s="93">
        <f t="shared" si="54"/>
        <v>2.0093999999999999</v>
      </c>
      <c r="AI30" s="95">
        <f t="shared" si="67"/>
        <v>3.4205999999999999</v>
      </c>
      <c r="AJ30" s="123">
        <f>886.2-876.94</f>
        <v>9.2599999999999909</v>
      </c>
      <c r="AK30" s="93">
        <f t="shared" si="55"/>
        <v>2.6394000000000002</v>
      </c>
      <c r="AL30" s="94">
        <f t="shared" si="68"/>
        <v>6.6205999999999907</v>
      </c>
      <c r="AM30" s="123">
        <f>898.44-886.2</f>
        <v>12.240000000000009</v>
      </c>
      <c r="AN30" s="93">
        <f t="shared" si="56"/>
        <v>2.379</v>
      </c>
      <c r="AO30" s="95">
        <f t="shared" si="69"/>
        <v>9.8610000000000095</v>
      </c>
      <c r="AP30" s="96">
        <f t="shared" si="23"/>
        <v>86.34</v>
      </c>
      <c r="AQ30" s="59">
        <f t="shared" si="23"/>
        <v>28.207800000000002</v>
      </c>
      <c r="AR30" s="60">
        <f t="shared" si="24"/>
        <v>58.132199999999997</v>
      </c>
      <c r="AS30" s="97">
        <f t="shared" si="25"/>
        <v>61.763918402039941</v>
      </c>
      <c r="AT30" s="98">
        <f t="shared" si="26"/>
        <v>91.733956651083716</v>
      </c>
    </row>
    <row r="31" spans="1:46" x14ac:dyDescent="0.25">
      <c r="A31" s="79"/>
      <c r="B31" s="49" t="s">
        <v>37</v>
      </c>
      <c r="C31" s="91">
        <f t="shared" si="57"/>
        <v>18</v>
      </c>
      <c r="D31" s="51">
        <v>18</v>
      </c>
      <c r="E31" s="92">
        <v>931</v>
      </c>
      <c r="F31" s="123">
        <v>12.88</v>
      </c>
      <c r="G31" s="93">
        <f t="shared" si="45"/>
        <v>2.2799999999999998</v>
      </c>
      <c r="H31" s="94">
        <f t="shared" si="58"/>
        <v>10.600000000000001</v>
      </c>
      <c r="I31" s="123">
        <v>13.02</v>
      </c>
      <c r="J31" s="93">
        <f t="shared" si="46"/>
        <v>2.16</v>
      </c>
      <c r="K31" s="95">
        <f t="shared" si="59"/>
        <v>10.86</v>
      </c>
      <c r="L31" s="123">
        <v>7.59</v>
      </c>
      <c r="M31" s="93">
        <f t="shared" si="47"/>
        <v>2.04</v>
      </c>
      <c r="N31" s="94">
        <f t="shared" si="60"/>
        <v>5.55</v>
      </c>
      <c r="O31" s="123">
        <v>5.33</v>
      </c>
      <c r="P31" s="93">
        <f t="shared" si="48"/>
        <v>1.98</v>
      </c>
      <c r="Q31" s="95">
        <f t="shared" si="61"/>
        <v>3.35</v>
      </c>
      <c r="R31" s="123">
        <v>2.71</v>
      </c>
      <c r="S31" s="93">
        <f t="shared" si="49"/>
        <v>1.74</v>
      </c>
      <c r="T31" s="94">
        <f t="shared" si="62"/>
        <v>0.97</v>
      </c>
      <c r="U31" s="123">
        <v>1.61</v>
      </c>
      <c r="V31" s="93">
        <f t="shared" si="50"/>
        <v>1.7999999999999998</v>
      </c>
      <c r="W31" s="95">
        <f t="shared" si="63"/>
        <v>-0.18999999999999972</v>
      </c>
      <c r="X31" s="123">
        <v>1.62</v>
      </c>
      <c r="Y31" s="93">
        <f t="shared" si="51"/>
        <v>1.8599999999999999</v>
      </c>
      <c r="Z31" s="94">
        <f t="shared" si="64"/>
        <v>-0.23999999999999977</v>
      </c>
      <c r="AA31" s="123">
        <f>853.02-851.32</f>
        <v>1.6999999999999318</v>
      </c>
      <c r="AB31" s="93">
        <f t="shared" si="52"/>
        <v>1.74</v>
      </c>
      <c r="AC31" s="95">
        <f t="shared" si="65"/>
        <v>-4.0000000000068203E-2</v>
      </c>
      <c r="AD31" s="123">
        <v>1.91</v>
      </c>
      <c r="AE31" s="93">
        <f t="shared" si="53"/>
        <v>1.7999999999999998</v>
      </c>
      <c r="AF31" s="94">
        <f t="shared" si="66"/>
        <v>0.1100000000000001</v>
      </c>
      <c r="AG31" s="123">
        <v>5.76</v>
      </c>
      <c r="AH31" s="93">
        <f t="shared" si="54"/>
        <v>1.9349999999999998</v>
      </c>
      <c r="AI31" s="95">
        <f t="shared" si="67"/>
        <v>3.8250000000000002</v>
      </c>
      <c r="AJ31" s="123">
        <f>869.87-860.69</f>
        <v>9.17999999999995</v>
      </c>
      <c r="AK31" s="93">
        <f t="shared" si="55"/>
        <v>2.3279999999999998</v>
      </c>
      <c r="AL31" s="94">
        <f t="shared" si="68"/>
        <v>6.8519999999999506</v>
      </c>
      <c r="AM31" s="123">
        <f>882.7-869.87</f>
        <v>12.830000000000041</v>
      </c>
      <c r="AN31" s="93">
        <f t="shared" si="56"/>
        <v>2.46</v>
      </c>
      <c r="AO31" s="95">
        <f t="shared" si="69"/>
        <v>10.37000000000004</v>
      </c>
      <c r="AP31" s="96">
        <f t="shared" si="23"/>
        <v>76.139999999999901</v>
      </c>
      <c r="AQ31" s="59">
        <f t="shared" si="23"/>
        <v>24.122999999999998</v>
      </c>
      <c r="AR31" s="60">
        <f t="shared" si="24"/>
        <v>52.016999999999904</v>
      </c>
      <c r="AS31" s="97">
        <f t="shared" si="25"/>
        <v>55.872180451127718</v>
      </c>
      <c r="AT31" s="98">
        <f t="shared" si="26"/>
        <v>81.783029001073999</v>
      </c>
    </row>
    <row r="32" spans="1:46" x14ac:dyDescent="0.25">
      <c r="A32" s="79"/>
      <c r="B32" s="49" t="s">
        <v>38</v>
      </c>
      <c r="C32" s="91">
        <f t="shared" si="57"/>
        <v>24</v>
      </c>
      <c r="D32" s="51">
        <v>24</v>
      </c>
      <c r="E32" s="92">
        <v>1299.8</v>
      </c>
      <c r="F32" s="123">
        <v>28.12</v>
      </c>
      <c r="G32" s="93">
        <f t="shared" si="45"/>
        <v>3.7199999999999998</v>
      </c>
      <c r="H32" s="94">
        <f t="shared" si="58"/>
        <v>24.400000000000002</v>
      </c>
      <c r="I32" s="123">
        <v>20.420000000000002</v>
      </c>
      <c r="J32" s="93">
        <f t="shared" si="46"/>
        <v>3.1799999999999997</v>
      </c>
      <c r="K32" s="95">
        <f t="shared" si="59"/>
        <v>17.240000000000002</v>
      </c>
      <c r="L32" s="123">
        <v>13.81</v>
      </c>
      <c r="M32" s="93">
        <f t="shared" si="47"/>
        <v>3.36</v>
      </c>
      <c r="N32" s="94">
        <f t="shared" si="60"/>
        <v>10.450000000000001</v>
      </c>
      <c r="O32" s="123">
        <v>8.36</v>
      </c>
      <c r="P32" s="93">
        <f t="shared" si="48"/>
        <v>2.94</v>
      </c>
      <c r="Q32" s="95">
        <f t="shared" si="61"/>
        <v>5.42</v>
      </c>
      <c r="R32" s="123">
        <v>6.42</v>
      </c>
      <c r="S32" s="93">
        <f t="shared" si="49"/>
        <v>2.88</v>
      </c>
      <c r="T32" s="94">
        <f t="shared" si="62"/>
        <v>3.54</v>
      </c>
      <c r="U32" s="123">
        <v>6.34</v>
      </c>
      <c r="V32" s="93">
        <f t="shared" si="50"/>
        <v>3.2399999999999998</v>
      </c>
      <c r="W32" s="95">
        <f t="shared" si="63"/>
        <v>3.1</v>
      </c>
      <c r="X32" s="123">
        <v>5.25</v>
      </c>
      <c r="Y32" s="93">
        <f t="shared" si="51"/>
        <v>3</v>
      </c>
      <c r="Z32" s="94">
        <f t="shared" si="64"/>
        <v>2.25</v>
      </c>
      <c r="AA32" s="123">
        <v>4.82</v>
      </c>
      <c r="AB32" s="93">
        <f t="shared" si="52"/>
        <v>2.4929999999999999</v>
      </c>
      <c r="AC32" s="95">
        <f t="shared" si="65"/>
        <v>2.3270000000000004</v>
      </c>
      <c r="AD32" s="123">
        <v>6.19</v>
      </c>
      <c r="AE32" s="93">
        <f t="shared" si="53"/>
        <v>3.1470000000000002</v>
      </c>
      <c r="AF32" s="94">
        <f t="shared" si="66"/>
        <v>3.0430000000000001</v>
      </c>
      <c r="AG32" s="123">
        <v>9.43</v>
      </c>
      <c r="AH32" s="93">
        <f t="shared" si="54"/>
        <v>2.8632</v>
      </c>
      <c r="AI32" s="95">
        <f t="shared" si="67"/>
        <v>6.5667999999999997</v>
      </c>
      <c r="AJ32" s="123">
        <f>1544.47-1528.92</f>
        <v>15.549999999999955</v>
      </c>
      <c r="AK32" s="93">
        <f t="shared" si="55"/>
        <v>3.0726</v>
      </c>
      <c r="AL32" s="94">
        <f t="shared" si="68"/>
        <v>12.477399999999955</v>
      </c>
      <c r="AM32" s="123">
        <f>1564.14-1544.47</f>
        <v>19.670000000000073</v>
      </c>
      <c r="AN32" s="93">
        <f t="shared" si="56"/>
        <v>2.8086000000000002</v>
      </c>
      <c r="AO32" s="95">
        <f t="shared" si="69"/>
        <v>16.861400000000074</v>
      </c>
      <c r="AP32" s="96">
        <f t="shared" si="23"/>
        <v>144.38000000000005</v>
      </c>
      <c r="AQ32" s="59">
        <f t="shared" si="23"/>
        <v>36.704399999999993</v>
      </c>
      <c r="AR32" s="60">
        <f t="shared" si="24"/>
        <v>107.67560000000006</v>
      </c>
      <c r="AS32" s="97">
        <f t="shared" si="25"/>
        <v>82.840129250654002</v>
      </c>
      <c r="AT32" s="98">
        <f t="shared" si="26"/>
        <v>111.07862748115099</v>
      </c>
    </row>
    <row r="33" spans="1:46" x14ac:dyDescent="0.25">
      <c r="A33" s="79"/>
      <c r="B33" s="49" t="s">
        <v>39</v>
      </c>
      <c r="C33" s="91">
        <f t="shared" si="57"/>
        <v>24</v>
      </c>
      <c r="D33" s="51">
        <v>24</v>
      </c>
      <c r="E33" s="92">
        <v>1302.2</v>
      </c>
      <c r="F33" s="123">
        <v>22.55</v>
      </c>
      <c r="G33" s="93">
        <f t="shared" si="45"/>
        <v>4.8599999999999994</v>
      </c>
      <c r="H33" s="94">
        <f t="shared" si="58"/>
        <v>17.690000000000001</v>
      </c>
      <c r="I33" s="123">
        <v>16.47</v>
      </c>
      <c r="J33" s="93">
        <f t="shared" si="46"/>
        <v>4.32</v>
      </c>
      <c r="K33" s="95">
        <f t="shared" si="59"/>
        <v>12.149999999999999</v>
      </c>
      <c r="L33" s="123">
        <v>11.22</v>
      </c>
      <c r="M33" s="93">
        <f t="shared" si="47"/>
        <v>4.68</v>
      </c>
      <c r="N33" s="94">
        <f t="shared" si="60"/>
        <v>6.5400000000000009</v>
      </c>
      <c r="O33" s="123">
        <v>8.41</v>
      </c>
      <c r="P33" s="93">
        <f t="shared" si="48"/>
        <v>4.62</v>
      </c>
      <c r="Q33" s="95">
        <f t="shared" si="61"/>
        <v>3.79</v>
      </c>
      <c r="R33" s="123">
        <v>6.53</v>
      </c>
      <c r="S33" s="93">
        <f t="shared" si="49"/>
        <v>1.02</v>
      </c>
      <c r="T33" s="94">
        <f t="shared" si="62"/>
        <v>5.51</v>
      </c>
      <c r="U33" s="123">
        <v>6.23</v>
      </c>
      <c r="V33" s="93">
        <f t="shared" si="50"/>
        <v>3.48</v>
      </c>
      <c r="W33" s="95">
        <f t="shared" si="63"/>
        <v>2.7500000000000004</v>
      </c>
      <c r="X33" s="123">
        <v>5.0999999999999996</v>
      </c>
      <c r="Y33" s="93">
        <f t="shared" si="51"/>
        <v>3</v>
      </c>
      <c r="Z33" s="94">
        <f t="shared" si="64"/>
        <v>2.0999999999999996</v>
      </c>
      <c r="AA33" s="123">
        <v>4.76</v>
      </c>
      <c r="AB33" s="93">
        <f t="shared" si="52"/>
        <v>2.8542000000000001</v>
      </c>
      <c r="AC33" s="95">
        <f t="shared" si="65"/>
        <v>1.9057999999999997</v>
      </c>
      <c r="AD33" s="123">
        <v>6.21</v>
      </c>
      <c r="AE33" s="93">
        <f t="shared" si="53"/>
        <v>3.6473999999999998</v>
      </c>
      <c r="AF33" s="94">
        <f t="shared" si="66"/>
        <v>2.5626000000000002</v>
      </c>
      <c r="AG33" s="123">
        <v>7.72</v>
      </c>
      <c r="AH33" s="93">
        <f t="shared" si="54"/>
        <v>3.7397999999999998</v>
      </c>
      <c r="AI33" s="95">
        <f t="shared" si="67"/>
        <v>3.9802</v>
      </c>
      <c r="AJ33" s="123">
        <f>4277.08-4263.98</f>
        <v>13.100000000000364</v>
      </c>
      <c r="AK33" s="93">
        <f t="shared" si="55"/>
        <v>3.9167999999999998</v>
      </c>
      <c r="AL33" s="94">
        <f t="shared" si="68"/>
        <v>9.1832000000003635</v>
      </c>
      <c r="AM33" s="123">
        <f>4293.57-4277.08</f>
        <v>16.489999999999782</v>
      </c>
      <c r="AN33" s="93">
        <f t="shared" si="56"/>
        <v>4.0217999999999998</v>
      </c>
      <c r="AO33" s="95">
        <f t="shared" si="69"/>
        <v>12.468199999999783</v>
      </c>
      <c r="AP33" s="96">
        <f t="shared" si="23"/>
        <v>124.79000000000013</v>
      </c>
      <c r="AQ33" s="59">
        <f t="shared" si="23"/>
        <v>44.160000000000004</v>
      </c>
      <c r="AR33" s="60">
        <f t="shared" si="24"/>
        <v>80.630000000000138</v>
      </c>
      <c r="AS33" s="97">
        <f t="shared" si="25"/>
        <v>61.918292121026056</v>
      </c>
      <c r="AT33" s="98">
        <f t="shared" si="26"/>
        <v>95.830133620027738</v>
      </c>
    </row>
    <row r="34" spans="1:46" x14ac:dyDescent="0.25">
      <c r="A34" s="79"/>
      <c r="B34" s="49" t="s">
        <v>42</v>
      </c>
      <c r="C34" s="91">
        <f t="shared" si="57"/>
        <v>18</v>
      </c>
      <c r="D34" s="51">
        <v>18</v>
      </c>
      <c r="E34" s="92">
        <v>805.9</v>
      </c>
      <c r="F34" s="125">
        <v>14.97</v>
      </c>
      <c r="G34" s="93">
        <f t="shared" ref="G34:G39" si="70">C70*0.06</f>
        <v>2.6399999999999997</v>
      </c>
      <c r="H34" s="94">
        <f t="shared" si="58"/>
        <v>12.330000000000002</v>
      </c>
      <c r="I34" s="125">
        <v>11.07</v>
      </c>
      <c r="J34" s="93">
        <f t="shared" ref="J34:J39" si="71">D70*0.06</f>
        <v>1.8599999999999999</v>
      </c>
      <c r="K34" s="95">
        <f t="shared" si="59"/>
        <v>9.2100000000000009</v>
      </c>
      <c r="L34" s="125">
        <v>7.93</v>
      </c>
      <c r="M34" s="93">
        <f t="shared" ref="M34:M39" si="72">E70*0.06</f>
        <v>2.16</v>
      </c>
      <c r="N34" s="94">
        <f t="shared" si="60"/>
        <v>5.77</v>
      </c>
      <c r="O34" s="125">
        <v>5.32</v>
      </c>
      <c r="P34" s="93">
        <f t="shared" ref="P34:P39" si="73">F70*0.06</f>
        <v>2.16</v>
      </c>
      <c r="Q34" s="95">
        <f t="shared" si="61"/>
        <v>3.16</v>
      </c>
      <c r="R34" s="125">
        <v>3.59</v>
      </c>
      <c r="S34" s="93">
        <f t="shared" ref="S34:S39" si="74">G70*0.06</f>
        <v>2.04</v>
      </c>
      <c r="T34" s="94">
        <f t="shared" si="62"/>
        <v>1.5499999999999998</v>
      </c>
      <c r="U34" s="125">
        <v>2.56</v>
      </c>
      <c r="V34" s="93">
        <f t="shared" ref="V34:V39" si="75">H70*0.06</f>
        <v>2.04</v>
      </c>
      <c r="W34" s="95">
        <f t="shared" si="63"/>
        <v>0.52</v>
      </c>
      <c r="X34" s="125">
        <v>2.34</v>
      </c>
      <c r="Y34" s="93">
        <f t="shared" ref="Y34:Y39" si="76">I70*0.06</f>
        <v>1.7999999999999998</v>
      </c>
      <c r="Z34" s="94">
        <f t="shared" si="64"/>
        <v>0.54</v>
      </c>
      <c r="AA34" s="125">
        <v>2.2599999999999998</v>
      </c>
      <c r="AB34" s="93">
        <f t="shared" ref="AB34:AB39" si="77">J70*0.06</f>
        <v>1.8779999999999999</v>
      </c>
      <c r="AC34" s="95">
        <f t="shared" si="65"/>
        <v>0.3819999999999999</v>
      </c>
      <c r="AD34" s="123">
        <v>2.5099999999999998</v>
      </c>
      <c r="AE34" s="93">
        <f t="shared" ref="AE34:AE39" si="78">K70*0.06</f>
        <v>2.5181999999999998</v>
      </c>
      <c r="AF34" s="94">
        <f t="shared" si="66"/>
        <v>-8.1999999999999851E-3</v>
      </c>
      <c r="AG34" s="125">
        <v>4.92</v>
      </c>
      <c r="AH34" s="93">
        <f t="shared" ref="AH34:AH39" si="79">L70*0.06</f>
        <v>1.9092</v>
      </c>
      <c r="AI34" s="95">
        <f t="shared" si="67"/>
        <v>3.0107999999999997</v>
      </c>
      <c r="AJ34" s="123">
        <v>9.42999999999995</v>
      </c>
      <c r="AK34" s="93">
        <f t="shared" ref="AK34:AK39" si="80">M70*0.06</f>
        <v>2.169</v>
      </c>
      <c r="AL34" s="94">
        <f t="shared" si="68"/>
        <v>7.2609999999999495</v>
      </c>
      <c r="AM34" s="123">
        <v>11.879999999999995</v>
      </c>
      <c r="AN34" s="93">
        <f t="shared" ref="AN34:AN39" si="81">N70*0.06</f>
        <v>1.9434</v>
      </c>
      <c r="AO34" s="95">
        <f t="shared" si="69"/>
        <v>9.936599999999995</v>
      </c>
      <c r="AP34" s="96">
        <f t="shared" si="23"/>
        <v>78.779999999999944</v>
      </c>
      <c r="AQ34" s="59">
        <f t="shared" si="23"/>
        <v>25.117799999999999</v>
      </c>
      <c r="AR34" s="60">
        <f t="shared" si="24"/>
        <v>53.662199999999942</v>
      </c>
      <c r="AS34" s="97">
        <f t="shared" si="25"/>
        <v>66.58667328452654</v>
      </c>
      <c r="AT34" s="98">
        <f t="shared" si="26"/>
        <v>97.754063779625199</v>
      </c>
    </row>
    <row r="35" spans="1:46" x14ac:dyDescent="0.25">
      <c r="A35" s="79"/>
      <c r="B35" s="49" t="s">
        <v>43</v>
      </c>
      <c r="C35" s="91">
        <v>18</v>
      </c>
      <c r="D35" s="51">
        <v>18</v>
      </c>
      <c r="E35" s="92">
        <v>1199.5</v>
      </c>
      <c r="F35" s="126">
        <v>17.62</v>
      </c>
      <c r="G35" s="93">
        <f t="shared" si="70"/>
        <v>3.7199999999999998</v>
      </c>
      <c r="H35" s="94">
        <f t="shared" si="58"/>
        <v>13.900000000000002</v>
      </c>
      <c r="I35" s="126">
        <v>17.71</v>
      </c>
      <c r="J35" s="93">
        <f t="shared" si="71"/>
        <v>3.84</v>
      </c>
      <c r="K35" s="95">
        <f t="shared" si="59"/>
        <v>13.870000000000001</v>
      </c>
      <c r="L35" s="126">
        <v>9.23</v>
      </c>
      <c r="M35" s="93">
        <f t="shared" si="72"/>
        <v>2.94</v>
      </c>
      <c r="N35" s="94">
        <f t="shared" si="60"/>
        <v>6.2900000000000009</v>
      </c>
      <c r="O35" s="126">
        <v>7.91</v>
      </c>
      <c r="P35" s="93">
        <f t="shared" si="73"/>
        <v>4.38</v>
      </c>
      <c r="Q35" s="95">
        <f t="shared" si="61"/>
        <v>3.5300000000000002</v>
      </c>
      <c r="R35" s="126">
        <v>3.27</v>
      </c>
      <c r="S35" s="93">
        <f t="shared" si="74"/>
        <v>3.84</v>
      </c>
      <c r="T35" s="94">
        <f t="shared" si="62"/>
        <v>-0.56999999999999984</v>
      </c>
      <c r="U35" s="126">
        <v>2.65</v>
      </c>
      <c r="V35" s="93">
        <f t="shared" si="75"/>
        <v>3.36</v>
      </c>
      <c r="W35" s="95">
        <f t="shared" si="63"/>
        <v>-0.71</v>
      </c>
      <c r="X35" s="126">
        <v>2.76</v>
      </c>
      <c r="Y35" s="93">
        <f t="shared" si="76"/>
        <v>3.84</v>
      </c>
      <c r="Z35" s="94">
        <f t="shared" si="64"/>
        <v>-1.08</v>
      </c>
      <c r="AA35" s="126">
        <v>2.4499999999999886</v>
      </c>
      <c r="AB35" s="93">
        <f t="shared" si="77"/>
        <v>3.3</v>
      </c>
      <c r="AC35" s="95">
        <f t="shared" si="65"/>
        <v>-0.85000000000001119</v>
      </c>
      <c r="AD35" s="126">
        <v>3.14</v>
      </c>
      <c r="AE35" s="93">
        <f t="shared" si="78"/>
        <v>3.3815999999999997</v>
      </c>
      <c r="AF35" s="94">
        <f t="shared" si="66"/>
        <v>-0.24159999999999959</v>
      </c>
      <c r="AG35" s="126">
        <v>7.3</v>
      </c>
      <c r="AH35" s="93">
        <f t="shared" si="79"/>
        <v>3.3942000000000001</v>
      </c>
      <c r="AI35" s="95">
        <f t="shared" si="67"/>
        <v>3.9057999999999997</v>
      </c>
      <c r="AJ35" s="126">
        <v>11.550000000000011</v>
      </c>
      <c r="AK35" s="93">
        <f t="shared" si="80"/>
        <v>3.6377999999999999</v>
      </c>
      <c r="AL35" s="94">
        <f t="shared" si="68"/>
        <v>7.912200000000011</v>
      </c>
      <c r="AM35" s="126">
        <v>15.659999999999968</v>
      </c>
      <c r="AN35" s="93">
        <f t="shared" si="81"/>
        <v>3.3077999999999999</v>
      </c>
      <c r="AO35" s="95">
        <f t="shared" si="69"/>
        <v>12.352199999999968</v>
      </c>
      <c r="AP35" s="96">
        <f t="shared" si="23"/>
        <v>101.24999999999996</v>
      </c>
      <c r="AQ35" s="59">
        <f t="shared" si="23"/>
        <v>42.941399999999994</v>
      </c>
      <c r="AR35" s="60">
        <f t="shared" si="24"/>
        <v>58.308599999999963</v>
      </c>
      <c r="AS35" s="97">
        <f t="shared" si="25"/>
        <v>48.61075448103373</v>
      </c>
      <c r="AT35" s="98">
        <f t="shared" si="26"/>
        <v>84.41017090454352</v>
      </c>
    </row>
    <row r="36" spans="1:46" x14ac:dyDescent="0.25">
      <c r="A36" s="79"/>
      <c r="B36" s="49" t="s">
        <v>44</v>
      </c>
      <c r="C36" s="91">
        <v>18</v>
      </c>
      <c r="D36" s="51">
        <v>18</v>
      </c>
      <c r="E36" s="92">
        <v>1173.2</v>
      </c>
      <c r="F36" s="126">
        <v>16.29</v>
      </c>
      <c r="G36" s="93">
        <f t="shared" si="70"/>
        <v>3.54</v>
      </c>
      <c r="H36" s="94">
        <f t="shared" si="58"/>
        <v>12.75</v>
      </c>
      <c r="I36" s="126">
        <v>16.829999999999998</v>
      </c>
      <c r="J36" s="93">
        <f t="shared" si="71"/>
        <v>3.36</v>
      </c>
      <c r="K36" s="95">
        <f t="shared" si="59"/>
        <v>13.469999999999999</v>
      </c>
      <c r="L36" s="126">
        <v>8.92</v>
      </c>
      <c r="M36" s="93">
        <f t="shared" si="72"/>
        <v>3</v>
      </c>
      <c r="N36" s="94">
        <f t="shared" si="60"/>
        <v>5.92</v>
      </c>
      <c r="O36" s="126">
        <v>9.09</v>
      </c>
      <c r="P36" s="93">
        <f t="shared" si="73"/>
        <v>4.8599999999999994</v>
      </c>
      <c r="Q36" s="95">
        <f t="shared" si="61"/>
        <v>4.2300000000000004</v>
      </c>
      <c r="R36" s="126">
        <v>4.12</v>
      </c>
      <c r="S36" s="93">
        <f t="shared" si="74"/>
        <v>3.7199999999999998</v>
      </c>
      <c r="T36" s="94">
        <f t="shared" si="62"/>
        <v>0.40000000000000036</v>
      </c>
      <c r="U36" s="126">
        <v>3.68</v>
      </c>
      <c r="V36" s="93">
        <f t="shared" si="75"/>
        <v>3.5999999999999996</v>
      </c>
      <c r="W36" s="95">
        <f t="shared" si="63"/>
        <v>8.0000000000000515E-2</v>
      </c>
      <c r="X36" s="126">
        <v>3.38</v>
      </c>
      <c r="Y36" s="93">
        <f t="shared" si="76"/>
        <v>3.36</v>
      </c>
      <c r="Z36" s="94">
        <f t="shared" si="64"/>
        <v>2.0000000000000018E-2</v>
      </c>
      <c r="AA36" s="126">
        <v>3.42</v>
      </c>
      <c r="AB36" s="93">
        <f t="shared" si="77"/>
        <v>3.5999999999999996</v>
      </c>
      <c r="AC36" s="95">
        <f t="shared" si="65"/>
        <v>-0.17999999999999972</v>
      </c>
      <c r="AD36" s="126">
        <v>3.7</v>
      </c>
      <c r="AE36" s="93">
        <f t="shared" si="78"/>
        <v>3.84</v>
      </c>
      <c r="AF36" s="94">
        <f t="shared" si="66"/>
        <v>-0.13999999999999968</v>
      </c>
      <c r="AG36" s="126">
        <v>7.74</v>
      </c>
      <c r="AH36" s="93">
        <f t="shared" si="79"/>
        <v>3.9</v>
      </c>
      <c r="AI36" s="95">
        <f t="shared" si="67"/>
        <v>3.8400000000000003</v>
      </c>
      <c r="AJ36" s="126">
        <v>13.589999999999918</v>
      </c>
      <c r="AK36" s="93">
        <f t="shared" si="80"/>
        <v>4.32</v>
      </c>
      <c r="AL36" s="94">
        <f t="shared" si="68"/>
        <v>9.2699999999999179</v>
      </c>
      <c r="AM36" s="126">
        <v>16.440000000000055</v>
      </c>
      <c r="AN36" s="93">
        <f t="shared" si="81"/>
        <v>4.2</v>
      </c>
      <c r="AO36" s="95">
        <f t="shared" si="69"/>
        <v>12.240000000000055</v>
      </c>
      <c r="AP36" s="96">
        <f t="shared" si="23"/>
        <v>107.19999999999996</v>
      </c>
      <c r="AQ36" s="59">
        <f t="shared" si="23"/>
        <v>45.3</v>
      </c>
      <c r="AR36" s="60">
        <f t="shared" si="24"/>
        <v>61.899999999999963</v>
      </c>
      <c r="AS36" s="97">
        <f t="shared" si="25"/>
        <v>52.761677463348072</v>
      </c>
      <c r="AT36" s="98">
        <f t="shared" si="26"/>
        <v>91.374019774974386</v>
      </c>
    </row>
    <row r="37" spans="1:46" x14ac:dyDescent="0.25">
      <c r="A37" s="79"/>
      <c r="B37" s="102" t="s">
        <v>52</v>
      </c>
      <c r="C37" s="91">
        <v>0</v>
      </c>
      <c r="D37" s="103">
        <v>21</v>
      </c>
      <c r="E37" s="104">
        <v>1322</v>
      </c>
      <c r="F37" s="127">
        <v>13.85</v>
      </c>
      <c r="G37" s="93">
        <f t="shared" si="70"/>
        <v>0</v>
      </c>
      <c r="H37" s="94">
        <f t="shared" si="58"/>
        <v>13.85</v>
      </c>
      <c r="I37" s="127">
        <v>9</v>
      </c>
      <c r="J37" s="93">
        <f t="shared" si="71"/>
        <v>0</v>
      </c>
      <c r="K37" s="95">
        <f t="shared" si="59"/>
        <v>9</v>
      </c>
      <c r="L37" s="127">
        <v>7.4950000000000001</v>
      </c>
      <c r="M37" s="93">
        <f t="shared" si="72"/>
        <v>0</v>
      </c>
      <c r="N37" s="94">
        <f t="shared" si="60"/>
        <v>7.4950000000000001</v>
      </c>
      <c r="O37" s="130">
        <v>4.3040000000000003</v>
      </c>
      <c r="P37" s="93">
        <f t="shared" si="73"/>
        <v>0</v>
      </c>
      <c r="Q37" s="95">
        <f t="shared" si="61"/>
        <v>4.3040000000000003</v>
      </c>
      <c r="R37" s="127">
        <v>0.52</v>
      </c>
      <c r="S37" s="93">
        <f t="shared" si="74"/>
        <v>0</v>
      </c>
      <c r="T37" s="94">
        <f t="shared" si="62"/>
        <v>0.52</v>
      </c>
      <c r="U37" s="127">
        <v>0</v>
      </c>
      <c r="V37" s="93">
        <f t="shared" si="75"/>
        <v>0</v>
      </c>
      <c r="W37" s="95">
        <f t="shared" si="63"/>
        <v>0</v>
      </c>
      <c r="X37" s="127">
        <v>0</v>
      </c>
      <c r="Y37" s="93">
        <f t="shared" si="76"/>
        <v>0</v>
      </c>
      <c r="Z37" s="94">
        <f t="shared" si="64"/>
        <v>0</v>
      </c>
      <c r="AA37" s="127">
        <v>0</v>
      </c>
      <c r="AB37" s="93">
        <f t="shared" si="77"/>
        <v>0</v>
      </c>
      <c r="AC37" s="95">
        <f t="shared" si="65"/>
        <v>0</v>
      </c>
      <c r="AD37" s="127">
        <v>0</v>
      </c>
      <c r="AE37" s="93">
        <f t="shared" si="78"/>
        <v>0</v>
      </c>
      <c r="AF37" s="94">
        <f t="shared" si="66"/>
        <v>0</v>
      </c>
      <c r="AG37" s="127">
        <v>4.2699999999999996</v>
      </c>
      <c r="AH37" s="93">
        <f t="shared" si="79"/>
        <v>0</v>
      </c>
      <c r="AI37" s="95">
        <f t="shared" si="67"/>
        <v>4.2699999999999996</v>
      </c>
      <c r="AJ37" s="127">
        <v>9.0608695652173914</v>
      </c>
      <c r="AK37" s="93">
        <f t="shared" si="80"/>
        <v>0</v>
      </c>
      <c r="AL37" s="94">
        <f t="shared" si="68"/>
        <v>9.0608695652173914</v>
      </c>
      <c r="AM37" s="127">
        <v>11.765217391304347</v>
      </c>
      <c r="AN37" s="93">
        <f t="shared" si="81"/>
        <v>0</v>
      </c>
      <c r="AO37" s="95">
        <f t="shared" si="69"/>
        <v>11.765217391304347</v>
      </c>
      <c r="AP37" s="96">
        <f t="shared" si="23"/>
        <v>60.265086956521742</v>
      </c>
      <c r="AQ37" s="59">
        <f t="shared" si="23"/>
        <v>0</v>
      </c>
      <c r="AR37" s="60">
        <f t="shared" si="24"/>
        <v>60.265086956521742</v>
      </c>
      <c r="AS37" s="97">
        <f t="shared" si="25"/>
        <v>45.586298756824313</v>
      </c>
      <c r="AT37" s="98">
        <f t="shared" si="26"/>
        <v>45.586298756824313</v>
      </c>
    </row>
    <row r="38" spans="1:46" x14ac:dyDescent="0.25">
      <c r="A38" s="79"/>
      <c r="B38" s="102" t="s">
        <v>53</v>
      </c>
      <c r="C38" s="91">
        <v>18</v>
      </c>
      <c r="D38" s="103">
        <v>18</v>
      </c>
      <c r="E38" s="104">
        <v>1238.4000000000001</v>
      </c>
      <c r="F38" s="128">
        <v>38.433999999999997</v>
      </c>
      <c r="G38" s="93">
        <f t="shared" si="70"/>
        <v>2.2799999999999998</v>
      </c>
      <c r="H38" s="94">
        <f t="shared" si="58"/>
        <v>36.153999999999996</v>
      </c>
      <c r="I38" s="128">
        <v>34.607999999999997</v>
      </c>
      <c r="J38" s="93">
        <f t="shared" si="71"/>
        <v>2.04</v>
      </c>
      <c r="K38" s="95">
        <f t="shared" si="59"/>
        <v>32.567999999999998</v>
      </c>
      <c r="L38" s="128">
        <v>23.373000000000001</v>
      </c>
      <c r="M38" s="93">
        <f t="shared" si="72"/>
        <v>2.16</v>
      </c>
      <c r="N38" s="94">
        <f t="shared" si="60"/>
        <v>21.213000000000001</v>
      </c>
      <c r="O38" s="131">
        <v>13.539</v>
      </c>
      <c r="P38" s="93">
        <f t="shared" si="73"/>
        <v>1.68</v>
      </c>
      <c r="Q38" s="95">
        <f t="shared" si="61"/>
        <v>11.859</v>
      </c>
      <c r="R38" s="128">
        <v>1.6519999999999999</v>
      </c>
      <c r="S38" s="93">
        <f t="shared" si="74"/>
        <v>1.92</v>
      </c>
      <c r="T38" s="94">
        <f t="shared" si="62"/>
        <v>-0.26800000000000002</v>
      </c>
      <c r="U38" s="128">
        <v>1.52</v>
      </c>
      <c r="V38" s="93">
        <f t="shared" si="75"/>
        <v>1.3199999999999998</v>
      </c>
      <c r="W38" s="95">
        <f t="shared" si="63"/>
        <v>0.20000000000000018</v>
      </c>
      <c r="X38" s="128">
        <v>0.78300000000000003</v>
      </c>
      <c r="Y38" s="93">
        <f t="shared" si="76"/>
        <v>0</v>
      </c>
      <c r="Z38" s="94">
        <f t="shared" si="64"/>
        <v>0.78300000000000003</v>
      </c>
      <c r="AA38" s="127">
        <v>0</v>
      </c>
      <c r="AB38" s="93">
        <f t="shared" si="77"/>
        <v>0</v>
      </c>
      <c r="AC38" s="95">
        <f t="shared" si="65"/>
        <v>0</v>
      </c>
      <c r="AD38" s="127">
        <v>0</v>
      </c>
      <c r="AE38" s="93">
        <f t="shared" si="78"/>
        <v>0</v>
      </c>
      <c r="AF38" s="94">
        <f t="shared" si="66"/>
        <v>0</v>
      </c>
      <c r="AG38" s="128">
        <v>7.3</v>
      </c>
      <c r="AH38" s="93">
        <f t="shared" si="79"/>
        <v>0.48</v>
      </c>
      <c r="AI38" s="95">
        <f t="shared" si="67"/>
        <v>6.82</v>
      </c>
      <c r="AJ38" s="134">
        <v>15.921739130434782</v>
      </c>
      <c r="AK38" s="93">
        <f t="shared" si="80"/>
        <v>1.68</v>
      </c>
      <c r="AL38" s="94">
        <f t="shared" si="68"/>
        <v>14.241739130434782</v>
      </c>
      <c r="AM38" s="134">
        <v>19.521739130434781</v>
      </c>
      <c r="AN38" s="93">
        <f t="shared" si="81"/>
        <v>2.04</v>
      </c>
      <c r="AO38" s="95">
        <f t="shared" si="69"/>
        <v>17.481739130434782</v>
      </c>
      <c r="AP38" s="96">
        <f t="shared" si="23"/>
        <v>156.65247826086957</v>
      </c>
      <c r="AQ38" s="59">
        <f t="shared" si="23"/>
        <v>15.600000000000001</v>
      </c>
      <c r="AR38" s="60">
        <f t="shared" si="24"/>
        <v>141.05247826086958</v>
      </c>
      <c r="AS38" s="97">
        <f t="shared" si="25"/>
        <v>113.89896500393213</v>
      </c>
      <c r="AT38" s="98">
        <f t="shared" si="26"/>
        <v>126.49586422873834</v>
      </c>
    </row>
    <row r="39" spans="1:46" ht="15.75" thickBot="1" x14ac:dyDescent="0.3">
      <c r="A39" s="79"/>
      <c r="B39" s="105" t="s">
        <v>54</v>
      </c>
      <c r="C39" s="106">
        <v>0</v>
      </c>
      <c r="D39" s="107">
        <v>18</v>
      </c>
      <c r="E39" s="108">
        <v>933.1</v>
      </c>
      <c r="F39" s="129">
        <v>25.32</v>
      </c>
      <c r="G39" s="110">
        <f t="shared" si="70"/>
        <v>0</v>
      </c>
      <c r="H39" s="111">
        <f t="shared" si="58"/>
        <v>25.32</v>
      </c>
      <c r="I39" s="129">
        <v>17.556000000000001</v>
      </c>
      <c r="J39" s="110">
        <f t="shared" si="71"/>
        <v>0</v>
      </c>
      <c r="K39" s="113">
        <f t="shared" si="59"/>
        <v>17.556000000000001</v>
      </c>
      <c r="L39" s="129">
        <v>15.608000000000001</v>
      </c>
      <c r="M39" s="110">
        <f t="shared" si="72"/>
        <v>0</v>
      </c>
      <c r="N39" s="111">
        <f t="shared" si="60"/>
        <v>15.608000000000001</v>
      </c>
      <c r="O39" s="132">
        <v>7.7389999999999999</v>
      </c>
      <c r="P39" s="110">
        <f t="shared" si="73"/>
        <v>0</v>
      </c>
      <c r="Q39" s="113">
        <f t="shared" si="61"/>
        <v>7.7389999999999999</v>
      </c>
      <c r="R39" s="133">
        <v>0</v>
      </c>
      <c r="S39" s="110">
        <f t="shared" si="74"/>
        <v>0</v>
      </c>
      <c r="T39" s="111">
        <f t="shared" si="62"/>
        <v>0</v>
      </c>
      <c r="U39" s="133">
        <v>0</v>
      </c>
      <c r="V39" s="110">
        <f t="shared" si="75"/>
        <v>0</v>
      </c>
      <c r="W39" s="113">
        <f t="shared" si="63"/>
        <v>0</v>
      </c>
      <c r="X39" s="133">
        <v>0</v>
      </c>
      <c r="Y39" s="110">
        <f t="shared" si="76"/>
        <v>0</v>
      </c>
      <c r="Z39" s="111">
        <f t="shared" si="64"/>
        <v>0</v>
      </c>
      <c r="AA39" s="133">
        <v>0</v>
      </c>
      <c r="AB39" s="110">
        <f t="shared" si="77"/>
        <v>0</v>
      </c>
      <c r="AC39" s="113">
        <f t="shared" si="65"/>
        <v>0</v>
      </c>
      <c r="AD39" s="133">
        <v>0</v>
      </c>
      <c r="AE39" s="110">
        <f t="shared" si="78"/>
        <v>0</v>
      </c>
      <c r="AF39" s="111">
        <f t="shared" si="66"/>
        <v>0</v>
      </c>
      <c r="AG39" s="129">
        <v>5.58</v>
      </c>
      <c r="AH39" s="110">
        <f t="shared" si="79"/>
        <v>0</v>
      </c>
      <c r="AI39" s="113">
        <f t="shared" si="67"/>
        <v>5.58</v>
      </c>
      <c r="AJ39" s="133">
        <v>12.043478260869565</v>
      </c>
      <c r="AK39" s="110">
        <f t="shared" si="80"/>
        <v>0</v>
      </c>
      <c r="AL39" s="111">
        <f t="shared" si="68"/>
        <v>12.043478260869565</v>
      </c>
      <c r="AM39" s="133">
        <v>12.243478260869566</v>
      </c>
      <c r="AN39" s="110">
        <f t="shared" si="81"/>
        <v>0</v>
      </c>
      <c r="AO39" s="113">
        <f t="shared" si="69"/>
        <v>12.243478260869566</v>
      </c>
      <c r="AP39" s="114">
        <f t="shared" si="23"/>
        <v>96.08995652173914</v>
      </c>
      <c r="AQ39" s="115">
        <f t="shared" si="23"/>
        <v>0</v>
      </c>
      <c r="AR39" s="116">
        <f t="shared" si="24"/>
        <v>96.08995652173914</v>
      </c>
      <c r="AS39" s="117">
        <f t="shared" si="25"/>
        <v>102.97926966213603</v>
      </c>
      <c r="AT39" s="118">
        <f t="shared" si="26"/>
        <v>102.97926966213603</v>
      </c>
    </row>
    <row r="40" spans="1:46" ht="15.75" thickBot="1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17" t="s">
        <v>50</v>
      </c>
      <c r="AS40" s="19">
        <f>AVERAGE(AS24:AS39)</f>
        <v>70.395099967004455</v>
      </c>
      <c r="AT40" s="18">
        <f>AVERAGE(AT24:AT39)</f>
        <v>95.373481113659338</v>
      </c>
    </row>
    <row r="41" spans="1:46" x14ac:dyDescent="0.25">
      <c r="A41" s="79"/>
      <c r="B41" s="79"/>
      <c r="C41" s="143" t="s">
        <v>62</v>
      </c>
      <c r="D41" s="144"/>
      <c r="E41" s="144"/>
      <c r="F41" s="144"/>
      <c r="G41" s="144"/>
      <c r="H41" s="145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</row>
    <row r="42" spans="1:46" x14ac:dyDescent="0.25">
      <c r="C42" s="146" t="s">
        <v>63</v>
      </c>
      <c r="D42" s="147"/>
      <c r="E42" s="147"/>
      <c r="F42" s="147"/>
      <c r="G42" s="147"/>
      <c r="H42" s="148"/>
    </row>
    <row r="51" spans="2:15" hidden="1" x14ac:dyDescent="0.25">
      <c r="C51">
        <v>1</v>
      </c>
      <c r="D51">
        <v>2</v>
      </c>
      <c r="E51">
        <v>3</v>
      </c>
      <c r="F51">
        <v>4</v>
      </c>
      <c r="G51">
        <v>5</v>
      </c>
      <c r="H51">
        <v>6</v>
      </c>
      <c r="I51">
        <v>7</v>
      </c>
      <c r="J51">
        <v>8</v>
      </c>
      <c r="K51">
        <v>9</v>
      </c>
      <c r="L51">
        <v>10</v>
      </c>
      <c r="M51">
        <v>11</v>
      </c>
      <c r="N51">
        <v>12</v>
      </c>
    </row>
    <row r="52" spans="2:15" hidden="1" x14ac:dyDescent="0.25">
      <c r="B52" s="1" t="s">
        <v>0</v>
      </c>
      <c r="C52" s="119">
        <v>152</v>
      </c>
      <c r="D52" s="119">
        <v>141</v>
      </c>
      <c r="E52" s="119">
        <v>121</v>
      </c>
      <c r="F52" s="119">
        <v>151</v>
      </c>
      <c r="G52" s="119">
        <v>142</v>
      </c>
      <c r="H52" s="119">
        <v>145</v>
      </c>
      <c r="I52" s="119">
        <v>136</v>
      </c>
      <c r="J52" s="119">
        <v>135.30000000000001</v>
      </c>
      <c r="K52" s="119">
        <f>19.14+109.7</f>
        <v>128.84</v>
      </c>
      <c r="L52" s="119">
        <v>127.83</v>
      </c>
      <c r="M52" s="119">
        <v>135.38</v>
      </c>
      <c r="N52" s="119">
        <v>140.88</v>
      </c>
      <c r="O52" s="4">
        <f t="shared" ref="O52:O55" si="82">SUM(C52:N52)</f>
        <v>1656.23</v>
      </c>
    </row>
    <row r="53" spans="2:15" hidden="1" x14ac:dyDescent="0.25">
      <c r="B53" s="6" t="s">
        <v>27</v>
      </c>
      <c r="C53" s="119">
        <v>45</v>
      </c>
      <c r="D53" s="119">
        <v>45</v>
      </c>
      <c r="E53" s="119">
        <v>38</v>
      </c>
      <c r="F53" s="119">
        <v>38</v>
      </c>
      <c r="G53" s="119">
        <v>17</v>
      </c>
      <c r="H53" s="119">
        <v>38</v>
      </c>
      <c r="I53" s="119">
        <v>37</v>
      </c>
      <c r="J53" s="119">
        <v>27</v>
      </c>
      <c r="K53" s="119">
        <v>38</v>
      </c>
      <c r="L53" s="119">
        <v>35</v>
      </c>
      <c r="M53" s="119">
        <v>34</v>
      </c>
      <c r="N53" s="119">
        <v>35</v>
      </c>
      <c r="O53" s="4">
        <f t="shared" si="82"/>
        <v>427</v>
      </c>
    </row>
    <row r="54" spans="2:15" hidden="1" x14ac:dyDescent="0.25">
      <c r="B54" s="1" t="s">
        <v>20</v>
      </c>
      <c r="C54" s="119">
        <v>55</v>
      </c>
      <c r="D54" s="119">
        <v>56</v>
      </c>
      <c r="E54" s="119">
        <v>43</v>
      </c>
      <c r="F54" s="119">
        <v>52</v>
      </c>
      <c r="G54" s="119">
        <v>46</v>
      </c>
      <c r="H54" s="119">
        <v>40</v>
      </c>
      <c r="I54" s="119">
        <v>41</v>
      </c>
      <c r="J54" s="119">
        <v>37.549999999999997</v>
      </c>
      <c r="K54" s="119">
        <v>48.42</v>
      </c>
      <c r="L54" s="119">
        <v>44.42</v>
      </c>
      <c r="M54" s="119">
        <v>45.93</v>
      </c>
      <c r="N54" s="119">
        <v>51.49</v>
      </c>
      <c r="O54" s="4">
        <f t="shared" si="82"/>
        <v>560.81000000000006</v>
      </c>
    </row>
    <row r="55" spans="2:15" hidden="1" x14ac:dyDescent="0.25">
      <c r="B55" s="1" t="s">
        <v>21</v>
      </c>
      <c r="C55" s="119">
        <v>141</v>
      </c>
      <c r="D55" s="119">
        <v>134</v>
      </c>
      <c r="E55" s="119">
        <v>103</v>
      </c>
      <c r="F55" s="119">
        <v>116</v>
      </c>
      <c r="G55" s="119">
        <v>88</v>
      </c>
      <c r="H55" s="119">
        <v>75</v>
      </c>
      <c r="I55" s="119">
        <v>74</v>
      </c>
      <c r="J55" s="119">
        <v>80.86</v>
      </c>
      <c r="K55" s="119">
        <v>89.48</v>
      </c>
      <c r="L55" s="119">
        <v>110.51</v>
      </c>
      <c r="M55" s="119">
        <v>118.3</v>
      </c>
      <c r="N55" s="119">
        <v>136.78</v>
      </c>
      <c r="O55" s="4">
        <f t="shared" si="82"/>
        <v>1266.93</v>
      </c>
    </row>
    <row r="56" spans="2:15" hidden="1" x14ac:dyDescent="0.25"/>
    <row r="57" spans="2:15" hidden="1" x14ac:dyDescent="0.25"/>
    <row r="58" spans="2:15" hidden="1" x14ac:dyDescent="0.25">
      <c r="B58" s="14" t="s">
        <v>30</v>
      </c>
      <c r="C58" s="119">
        <v>58</v>
      </c>
      <c r="D58" s="119">
        <v>52</v>
      </c>
      <c r="E58" s="119">
        <v>54</v>
      </c>
      <c r="F58" s="119">
        <v>49</v>
      </c>
      <c r="G58" s="119">
        <v>45</v>
      </c>
      <c r="H58" s="119">
        <v>43</v>
      </c>
      <c r="I58" s="119">
        <v>40</v>
      </c>
      <c r="J58" s="119">
        <v>35.68</v>
      </c>
      <c r="K58" s="119">
        <v>44.05</v>
      </c>
      <c r="L58" s="119">
        <v>41.69</v>
      </c>
      <c r="M58" s="119">
        <v>43.93</v>
      </c>
      <c r="N58" s="119">
        <v>44.3</v>
      </c>
      <c r="O58" s="4">
        <f>SUM(C58:N58)</f>
        <v>550.65</v>
      </c>
    </row>
    <row r="59" spans="2:15" hidden="1" x14ac:dyDescent="0.25">
      <c r="B59" s="14" t="s">
        <v>31</v>
      </c>
      <c r="C59" s="119">
        <v>41</v>
      </c>
      <c r="D59" s="119">
        <v>40</v>
      </c>
      <c r="E59" s="119">
        <v>35</v>
      </c>
      <c r="F59" s="119">
        <v>35</v>
      </c>
      <c r="G59" s="119">
        <v>36</v>
      </c>
      <c r="H59" s="119">
        <v>34</v>
      </c>
      <c r="I59" s="119">
        <v>34</v>
      </c>
      <c r="J59" s="119">
        <v>25.55</v>
      </c>
      <c r="K59" s="119">
        <v>27.95</v>
      </c>
      <c r="L59" s="119">
        <v>44.3</v>
      </c>
      <c r="M59" s="119">
        <v>40.869999999999997</v>
      </c>
      <c r="N59" s="119">
        <v>46.65</v>
      </c>
      <c r="O59" s="4">
        <f t="shared" ref="O59:O75" si="83">SUM(C59:N59)</f>
        <v>440.32</v>
      </c>
    </row>
    <row r="60" spans="2:15" hidden="1" x14ac:dyDescent="0.25">
      <c r="B60" s="15" t="s">
        <v>32</v>
      </c>
      <c r="C60" s="119">
        <v>61</v>
      </c>
      <c r="D60" s="2">
        <v>51</v>
      </c>
      <c r="E60" s="2">
        <v>52</v>
      </c>
      <c r="F60" s="119">
        <v>46</v>
      </c>
      <c r="G60" s="119">
        <v>48</v>
      </c>
      <c r="H60" s="119">
        <v>44</v>
      </c>
      <c r="I60" s="119">
        <v>44</v>
      </c>
      <c r="J60" s="119">
        <v>36.46</v>
      </c>
      <c r="K60" s="119">
        <v>52.54</v>
      </c>
      <c r="L60" s="119">
        <v>45.16</v>
      </c>
      <c r="M60" s="119">
        <v>47.12</v>
      </c>
      <c r="N60" s="119">
        <v>52.82</v>
      </c>
      <c r="O60" s="4">
        <f t="shared" si="83"/>
        <v>580.1</v>
      </c>
    </row>
    <row r="61" spans="2:15" hidden="1" x14ac:dyDescent="0.25">
      <c r="B61" s="5" t="s">
        <v>33</v>
      </c>
      <c r="C61" s="119">
        <v>47</v>
      </c>
      <c r="D61" s="119">
        <v>44</v>
      </c>
      <c r="E61" s="119">
        <v>40</v>
      </c>
      <c r="F61" s="119">
        <v>37</v>
      </c>
      <c r="G61" s="119">
        <v>34</v>
      </c>
      <c r="H61" s="119">
        <v>34</v>
      </c>
      <c r="I61" s="119">
        <v>33</v>
      </c>
      <c r="J61" s="119">
        <v>30.39</v>
      </c>
      <c r="K61" s="119">
        <v>27.19</v>
      </c>
      <c r="L61" s="119">
        <v>28.81</v>
      </c>
      <c r="M61" s="119">
        <v>33.99</v>
      </c>
      <c r="N61" s="119">
        <v>35.270000000000003</v>
      </c>
      <c r="O61" s="4">
        <f t="shared" si="83"/>
        <v>424.65</v>
      </c>
    </row>
    <row r="62" spans="2:15" hidden="1" x14ac:dyDescent="0.25">
      <c r="B62" s="5" t="s">
        <v>34</v>
      </c>
      <c r="C62" s="119">
        <v>54</v>
      </c>
      <c r="D62" s="119">
        <v>46</v>
      </c>
      <c r="E62" s="119">
        <v>38</v>
      </c>
      <c r="F62" s="119">
        <v>40</v>
      </c>
      <c r="G62" s="119">
        <v>37</v>
      </c>
      <c r="H62" s="119">
        <v>36</v>
      </c>
      <c r="I62" s="119">
        <v>35</v>
      </c>
      <c r="J62" s="119">
        <v>32.840000000000003</v>
      </c>
      <c r="K62" s="119">
        <v>35.69</v>
      </c>
      <c r="L62" s="119">
        <v>36.770000000000003</v>
      </c>
      <c r="M62" s="119">
        <v>29.49</v>
      </c>
      <c r="N62" s="119">
        <v>34.07</v>
      </c>
      <c r="O62" s="4">
        <f t="shared" si="83"/>
        <v>454.86</v>
      </c>
    </row>
    <row r="63" spans="2:15" hidden="1" x14ac:dyDescent="0.25">
      <c r="B63" s="5" t="s">
        <v>35</v>
      </c>
      <c r="C63" s="119">
        <v>69</v>
      </c>
      <c r="D63" s="119">
        <v>60</v>
      </c>
      <c r="E63" s="119">
        <v>67</v>
      </c>
      <c r="F63" s="119">
        <v>66</v>
      </c>
      <c r="G63" s="119">
        <v>61</v>
      </c>
      <c r="H63" s="119">
        <v>60</v>
      </c>
      <c r="I63" s="119">
        <v>61</v>
      </c>
      <c r="J63" s="119">
        <v>54.89</v>
      </c>
      <c r="K63" s="119">
        <v>58</v>
      </c>
      <c r="L63" s="119">
        <v>58.4</v>
      </c>
      <c r="M63" s="119">
        <v>63.58</v>
      </c>
      <c r="N63" s="119">
        <v>68.87</v>
      </c>
      <c r="O63" s="4">
        <f t="shared" si="83"/>
        <v>747.74</v>
      </c>
    </row>
    <row r="64" spans="2:15" hidden="1" x14ac:dyDescent="0.25">
      <c r="B64" s="15" t="s">
        <v>36</v>
      </c>
      <c r="C64" s="119">
        <v>42</v>
      </c>
      <c r="D64" s="119">
        <v>44</v>
      </c>
      <c r="E64" s="119">
        <v>40</v>
      </c>
      <c r="F64" s="119">
        <v>46</v>
      </c>
      <c r="G64" s="119">
        <v>42</v>
      </c>
      <c r="H64" s="119">
        <v>29</v>
      </c>
      <c r="I64" s="119">
        <v>34</v>
      </c>
      <c r="J64" s="119">
        <v>32</v>
      </c>
      <c r="K64" s="119">
        <v>44</v>
      </c>
      <c r="L64" s="119">
        <v>33.49</v>
      </c>
      <c r="M64" s="119">
        <v>43.99</v>
      </c>
      <c r="N64" s="119">
        <v>39.65</v>
      </c>
      <c r="O64" s="4">
        <f t="shared" si="83"/>
        <v>470.13</v>
      </c>
    </row>
    <row r="65" spans="2:15" hidden="1" x14ac:dyDescent="0.25">
      <c r="B65" s="5" t="s">
        <v>37</v>
      </c>
      <c r="C65" s="119">
        <v>38</v>
      </c>
      <c r="D65" s="119">
        <v>36</v>
      </c>
      <c r="E65" s="119">
        <v>34</v>
      </c>
      <c r="F65" s="119">
        <v>33</v>
      </c>
      <c r="G65" s="119">
        <v>29</v>
      </c>
      <c r="H65" s="119">
        <v>30</v>
      </c>
      <c r="I65" s="119">
        <v>31</v>
      </c>
      <c r="J65" s="119">
        <v>29</v>
      </c>
      <c r="K65" s="119">
        <v>30</v>
      </c>
      <c r="L65" s="119">
        <v>32.25</v>
      </c>
      <c r="M65" s="119">
        <v>38.799999999999997</v>
      </c>
      <c r="N65" s="119">
        <v>41</v>
      </c>
      <c r="O65" s="4">
        <f t="shared" si="83"/>
        <v>402.05</v>
      </c>
    </row>
    <row r="66" spans="2:15" hidden="1" x14ac:dyDescent="0.25">
      <c r="B66" s="15" t="s">
        <v>38</v>
      </c>
      <c r="C66" s="119">
        <v>62</v>
      </c>
      <c r="D66" s="119">
        <v>53</v>
      </c>
      <c r="E66" s="119">
        <v>56</v>
      </c>
      <c r="F66" s="119">
        <v>49</v>
      </c>
      <c r="G66" s="119">
        <v>48</v>
      </c>
      <c r="H66" s="119">
        <v>54</v>
      </c>
      <c r="I66" s="119">
        <v>50</v>
      </c>
      <c r="J66" s="119">
        <v>41.55</v>
      </c>
      <c r="K66" s="119">
        <v>52.45</v>
      </c>
      <c r="L66" s="119">
        <v>47.72</v>
      </c>
      <c r="M66" s="119">
        <v>51.21</v>
      </c>
      <c r="N66" s="119">
        <v>46.81</v>
      </c>
      <c r="O66" s="4">
        <f>SUM(C66:N66)</f>
        <v>611.74</v>
      </c>
    </row>
    <row r="67" spans="2:15" hidden="1" x14ac:dyDescent="0.25">
      <c r="B67" s="5" t="s">
        <v>39</v>
      </c>
      <c r="C67" s="119">
        <v>81</v>
      </c>
      <c r="D67" s="119">
        <v>72</v>
      </c>
      <c r="E67" s="119">
        <v>78</v>
      </c>
      <c r="F67" s="119">
        <v>77</v>
      </c>
      <c r="G67" s="119">
        <v>17</v>
      </c>
      <c r="H67" s="119">
        <v>58</v>
      </c>
      <c r="I67" s="119">
        <v>50</v>
      </c>
      <c r="J67" s="119">
        <v>47.57</v>
      </c>
      <c r="K67" s="119">
        <v>60.79</v>
      </c>
      <c r="L67" s="119">
        <v>62.33</v>
      </c>
      <c r="M67" s="119">
        <v>65.28</v>
      </c>
      <c r="N67" s="119">
        <v>67.03</v>
      </c>
      <c r="O67" s="4">
        <f>SUM(C67:N67)</f>
        <v>736</v>
      </c>
    </row>
    <row r="68" spans="2:15" hidden="1" x14ac:dyDescent="0.25">
      <c r="B68" s="5" t="s">
        <v>40</v>
      </c>
      <c r="C68" s="119">
        <v>150</v>
      </c>
      <c r="D68" s="119">
        <v>154</v>
      </c>
      <c r="E68" s="119">
        <v>137</v>
      </c>
      <c r="F68" s="119">
        <v>133</v>
      </c>
      <c r="G68" s="119">
        <v>116</v>
      </c>
      <c r="H68" s="119">
        <v>116</v>
      </c>
      <c r="I68" s="119">
        <v>106</v>
      </c>
      <c r="J68" s="119">
        <v>95</v>
      </c>
      <c r="K68" s="119">
        <v>113.04</v>
      </c>
      <c r="L68" s="119">
        <v>116.86</v>
      </c>
      <c r="M68" s="120">
        <v>117.59</v>
      </c>
      <c r="N68" s="119">
        <v>134.49</v>
      </c>
      <c r="O68" s="4">
        <f t="shared" si="83"/>
        <v>1488.9799999999998</v>
      </c>
    </row>
    <row r="69" spans="2:15" hidden="1" x14ac:dyDescent="0.25">
      <c r="B69" s="15" t="s">
        <v>41</v>
      </c>
      <c r="C69" s="119">
        <v>106</v>
      </c>
      <c r="D69" s="119">
        <v>109</v>
      </c>
      <c r="E69" s="119">
        <v>84</v>
      </c>
      <c r="F69" s="119">
        <v>90</v>
      </c>
      <c r="G69" s="119">
        <v>75</v>
      </c>
      <c r="H69" s="119">
        <v>73</v>
      </c>
      <c r="I69" s="119">
        <v>65</v>
      </c>
      <c r="J69" s="119">
        <v>65.72</v>
      </c>
      <c r="K69" s="119">
        <v>79.02</v>
      </c>
      <c r="L69" s="119">
        <v>81.92</v>
      </c>
      <c r="M69" s="119">
        <v>85.61</v>
      </c>
      <c r="N69" s="119">
        <v>98</v>
      </c>
      <c r="O69" s="4">
        <f t="shared" si="83"/>
        <v>1012.27</v>
      </c>
    </row>
    <row r="70" spans="2:15" hidden="1" x14ac:dyDescent="0.25">
      <c r="B70" s="16" t="s">
        <v>42</v>
      </c>
      <c r="C70">
        <v>44</v>
      </c>
      <c r="D70" s="9">
        <v>31</v>
      </c>
      <c r="E70" s="9">
        <v>36</v>
      </c>
      <c r="F70" s="121">
        <v>36</v>
      </c>
      <c r="G70" s="121">
        <v>34</v>
      </c>
      <c r="H70" s="121">
        <v>34</v>
      </c>
      <c r="I70" s="121">
        <v>30</v>
      </c>
      <c r="J70" s="121">
        <v>31.3</v>
      </c>
      <c r="K70" s="121">
        <v>41.97</v>
      </c>
      <c r="L70" s="121">
        <v>31.82</v>
      </c>
      <c r="M70" s="119">
        <v>36.15</v>
      </c>
      <c r="N70" s="121">
        <v>32.39</v>
      </c>
      <c r="O70" s="11">
        <f t="shared" si="83"/>
        <v>418.62999999999994</v>
      </c>
    </row>
    <row r="71" spans="2:15" hidden="1" x14ac:dyDescent="0.25">
      <c r="B71" s="15" t="s">
        <v>47</v>
      </c>
      <c r="C71" s="119">
        <v>62</v>
      </c>
      <c r="D71" s="119">
        <v>64</v>
      </c>
      <c r="E71" s="119">
        <v>49</v>
      </c>
      <c r="F71" s="119">
        <v>73</v>
      </c>
      <c r="G71" s="119">
        <v>64</v>
      </c>
      <c r="H71" s="119">
        <v>56</v>
      </c>
      <c r="I71" s="119">
        <v>64</v>
      </c>
      <c r="J71" s="119">
        <v>55</v>
      </c>
      <c r="K71" s="119">
        <v>56.36</v>
      </c>
      <c r="L71" s="119">
        <v>56.57</v>
      </c>
      <c r="M71" s="119">
        <v>60.63</v>
      </c>
      <c r="N71" s="119">
        <v>55.13</v>
      </c>
      <c r="O71" s="4">
        <f t="shared" si="83"/>
        <v>715.69</v>
      </c>
    </row>
    <row r="72" spans="2:15" hidden="1" x14ac:dyDescent="0.25">
      <c r="B72" s="15" t="s">
        <v>48</v>
      </c>
      <c r="C72" s="119">
        <v>59</v>
      </c>
      <c r="D72" s="119">
        <v>56</v>
      </c>
      <c r="E72" s="119">
        <v>50</v>
      </c>
      <c r="F72" s="119">
        <v>81</v>
      </c>
      <c r="G72" s="119">
        <v>62</v>
      </c>
      <c r="H72" s="119">
        <v>60</v>
      </c>
      <c r="I72" s="119">
        <v>56</v>
      </c>
      <c r="J72" s="119">
        <v>60</v>
      </c>
      <c r="K72" s="119">
        <v>64</v>
      </c>
      <c r="L72" s="119">
        <v>65</v>
      </c>
      <c r="M72" s="119">
        <v>72</v>
      </c>
      <c r="N72" s="119">
        <v>70</v>
      </c>
      <c r="O72" s="4">
        <f t="shared" si="83"/>
        <v>755</v>
      </c>
    </row>
    <row r="73" spans="2:15" hidden="1" x14ac:dyDescent="0.25">
      <c r="B73" s="5" t="s">
        <v>45</v>
      </c>
      <c r="C73" s="119">
        <v>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19">
        <v>0</v>
      </c>
      <c r="O73" s="12">
        <f t="shared" si="83"/>
        <v>0</v>
      </c>
    </row>
    <row r="74" spans="2:15" hidden="1" x14ac:dyDescent="0.25">
      <c r="B74" s="5" t="s">
        <v>46</v>
      </c>
      <c r="C74" s="122">
        <v>38</v>
      </c>
      <c r="D74" s="122">
        <v>34</v>
      </c>
      <c r="E74" s="122">
        <v>36</v>
      </c>
      <c r="F74" s="122">
        <v>28</v>
      </c>
      <c r="G74" s="122">
        <v>32</v>
      </c>
      <c r="H74" s="122">
        <v>22</v>
      </c>
      <c r="I74" s="119">
        <v>0</v>
      </c>
      <c r="J74" s="119">
        <v>0</v>
      </c>
      <c r="K74" s="119">
        <v>0</v>
      </c>
      <c r="L74" s="119">
        <v>8</v>
      </c>
      <c r="M74" s="119">
        <f>16+12</f>
        <v>28</v>
      </c>
      <c r="N74" s="119">
        <v>34</v>
      </c>
      <c r="O74" s="12">
        <f t="shared" si="83"/>
        <v>260</v>
      </c>
    </row>
    <row r="75" spans="2:15" hidden="1" x14ac:dyDescent="0.25">
      <c r="B75" s="5" t="s">
        <v>49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2">
        <f t="shared" si="83"/>
        <v>0</v>
      </c>
    </row>
    <row r="76" spans="2:15" hidden="1" x14ac:dyDescent="0.25"/>
  </sheetData>
  <mergeCells count="43">
    <mergeCell ref="AS21:AS23"/>
    <mergeCell ref="AD21:AF22"/>
    <mergeCell ref="AG21:AI22"/>
    <mergeCell ref="AJ21:AL22"/>
    <mergeCell ref="AM21:AO22"/>
    <mergeCell ref="AP21:AR22"/>
    <mergeCell ref="O21:Q22"/>
    <mergeCell ref="R21:T22"/>
    <mergeCell ref="U21:W22"/>
    <mergeCell ref="X21:Z22"/>
    <mergeCell ref="AA21:AC22"/>
    <mergeCell ref="B21:B23"/>
    <mergeCell ref="C21:D21"/>
    <mergeCell ref="E21:E23"/>
    <mergeCell ref="F21:H22"/>
    <mergeCell ref="I21:K22"/>
    <mergeCell ref="U4:W5"/>
    <mergeCell ref="AT4:AT6"/>
    <mergeCell ref="C5:C6"/>
    <mergeCell ref="D5:D6"/>
    <mergeCell ref="L21:N22"/>
    <mergeCell ref="C22:C23"/>
    <mergeCell ref="D22:D23"/>
    <mergeCell ref="AP4:AR5"/>
    <mergeCell ref="AS4:AS6"/>
    <mergeCell ref="X4:Z5"/>
    <mergeCell ref="AA4:AC5"/>
    <mergeCell ref="AD4:AF5"/>
    <mergeCell ref="AG4:AI5"/>
    <mergeCell ref="AJ4:AL5"/>
    <mergeCell ref="AM4:AO5"/>
    <mergeCell ref="AT21:AT23"/>
    <mergeCell ref="C3:J3"/>
    <mergeCell ref="C20:J20"/>
    <mergeCell ref="D1:T1"/>
    <mergeCell ref="B4:B6"/>
    <mergeCell ref="C4:D4"/>
    <mergeCell ref="E4:E6"/>
    <mergeCell ref="F4:H5"/>
    <mergeCell ref="I4:K5"/>
    <mergeCell ref="L4:N5"/>
    <mergeCell ref="O4:Q5"/>
    <mergeCell ref="R4:T5"/>
  </mergeCells>
  <pageMargins left="0.70866141732283472" right="0.70866141732283472" top="0.74803149606299213" bottom="0.74803149606299213" header="0.31496062992125984" footer="0.31496062992125984"/>
  <pageSetup paperSize="9" scale="78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77"/>
  <sheetViews>
    <sheetView topLeftCell="B1" zoomScale="85" zoomScaleNormal="85" workbookViewId="0">
      <selection activeCell="AU11" sqref="AU11"/>
    </sheetView>
  </sheetViews>
  <sheetFormatPr defaultRowHeight="15" x14ac:dyDescent="0.25"/>
  <cols>
    <col min="1" max="1" width="9.140625" hidden="1" customWidth="1"/>
    <col min="2" max="2" width="16.5703125" bestFit="1" customWidth="1"/>
    <col min="3" max="14" width="6.5703125" bestFit="1" customWidth="1"/>
    <col min="15" max="15" width="7.5703125" bestFit="1" customWidth="1"/>
    <col min="16" max="16" width="4.42578125" bestFit="1" customWidth="1"/>
    <col min="17" max="17" width="6" bestFit="1" customWidth="1"/>
    <col min="18" max="18" width="5.28515625" bestFit="1" customWidth="1"/>
    <col min="19" max="19" width="4.42578125" bestFit="1" customWidth="1"/>
    <col min="20" max="20" width="6" bestFit="1" customWidth="1"/>
    <col min="21" max="21" width="5.28515625" bestFit="1" customWidth="1"/>
    <col min="22" max="22" width="4.42578125" bestFit="1" customWidth="1"/>
    <col min="23" max="23" width="6" bestFit="1" customWidth="1"/>
    <col min="24" max="24" width="5.28515625" bestFit="1" customWidth="1"/>
    <col min="25" max="25" width="4.42578125" bestFit="1" customWidth="1"/>
    <col min="26" max="26" width="6" bestFit="1" customWidth="1"/>
    <col min="27" max="27" width="5.28515625" bestFit="1" customWidth="1"/>
    <col min="28" max="28" width="4.42578125" bestFit="1" customWidth="1"/>
    <col min="29" max="29" width="6" bestFit="1" customWidth="1"/>
    <col min="30" max="30" width="5.28515625" bestFit="1" customWidth="1"/>
    <col min="31" max="31" width="4.42578125" bestFit="1" customWidth="1"/>
    <col min="32" max="32" width="6" bestFit="1" customWidth="1"/>
    <col min="33" max="33" width="5.28515625" bestFit="1" customWidth="1"/>
    <col min="34" max="34" width="4.42578125" bestFit="1" customWidth="1"/>
    <col min="35" max="35" width="6" bestFit="1" customWidth="1"/>
    <col min="36" max="36" width="5.28515625" bestFit="1" customWidth="1"/>
    <col min="37" max="37" width="4.42578125" bestFit="1" customWidth="1"/>
    <col min="38" max="38" width="6" bestFit="1" customWidth="1"/>
    <col min="39" max="39" width="5.28515625" bestFit="1" customWidth="1"/>
    <col min="40" max="40" width="4.42578125" bestFit="1" customWidth="1"/>
    <col min="41" max="41" width="6" bestFit="1" customWidth="1"/>
    <col min="42" max="42" width="6.28515625" bestFit="1" customWidth="1"/>
    <col min="43" max="43" width="5.28515625" bestFit="1" customWidth="1"/>
    <col min="44" max="44" width="6.28515625" bestFit="1" customWidth="1"/>
    <col min="45" max="45" width="7.28515625" customWidth="1"/>
    <col min="46" max="46" width="12.28515625" customWidth="1"/>
  </cols>
  <sheetData>
    <row r="1" spans="2:46" ht="15.75" x14ac:dyDescent="0.25">
      <c r="C1" s="151" t="s">
        <v>61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38"/>
    </row>
    <row r="2" spans="2:46" ht="5.25" customHeight="1" thickBot="1" x14ac:dyDescent="0.3"/>
    <row r="3" spans="2:46" ht="21.75" thickBot="1" x14ac:dyDescent="0.3">
      <c r="B3" s="142"/>
      <c r="C3" s="149" t="s">
        <v>58</v>
      </c>
      <c r="D3" s="150"/>
      <c r="E3" s="150"/>
      <c r="F3" s="150"/>
      <c r="G3" s="150"/>
      <c r="H3" s="150"/>
      <c r="I3" s="150"/>
      <c r="J3" s="15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1"/>
    </row>
    <row r="4" spans="2:46" x14ac:dyDescent="0.25">
      <c r="B4" s="152" t="s">
        <v>18</v>
      </c>
      <c r="C4" s="155" t="s">
        <v>1</v>
      </c>
      <c r="D4" s="156"/>
      <c r="E4" s="157" t="s">
        <v>17</v>
      </c>
      <c r="F4" s="160" t="s">
        <v>4</v>
      </c>
      <c r="G4" s="156"/>
      <c r="H4" s="161"/>
      <c r="I4" s="155" t="s">
        <v>5</v>
      </c>
      <c r="J4" s="156"/>
      <c r="K4" s="157"/>
      <c r="L4" s="160" t="s">
        <v>6</v>
      </c>
      <c r="M4" s="156"/>
      <c r="N4" s="161"/>
      <c r="O4" s="155" t="s">
        <v>7</v>
      </c>
      <c r="P4" s="156"/>
      <c r="Q4" s="157"/>
      <c r="R4" s="160" t="s">
        <v>8</v>
      </c>
      <c r="S4" s="156"/>
      <c r="T4" s="161"/>
      <c r="U4" s="155" t="s">
        <v>9</v>
      </c>
      <c r="V4" s="156"/>
      <c r="W4" s="157"/>
      <c r="X4" s="160" t="s">
        <v>10</v>
      </c>
      <c r="Y4" s="156"/>
      <c r="Z4" s="161"/>
      <c r="AA4" s="155" t="s">
        <v>11</v>
      </c>
      <c r="AB4" s="156"/>
      <c r="AC4" s="157"/>
      <c r="AD4" s="160" t="s">
        <v>12</v>
      </c>
      <c r="AE4" s="156"/>
      <c r="AF4" s="161"/>
      <c r="AG4" s="155" t="s">
        <v>13</v>
      </c>
      <c r="AH4" s="156"/>
      <c r="AI4" s="157"/>
      <c r="AJ4" s="160" t="s">
        <v>14</v>
      </c>
      <c r="AK4" s="156"/>
      <c r="AL4" s="161"/>
      <c r="AM4" s="155" t="s">
        <v>15</v>
      </c>
      <c r="AN4" s="156"/>
      <c r="AO4" s="157"/>
      <c r="AP4" s="155" t="s">
        <v>16</v>
      </c>
      <c r="AQ4" s="156"/>
      <c r="AR4" s="157"/>
      <c r="AS4" s="171" t="s">
        <v>28</v>
      </c>
      <c r="AT4" s="166" t="s">
        <v>51</v>
      </c>
    </row>
    <row r="5" spans="2:46" ht="15.75" thickBot="1" x14ac:dyDescent="0.3">
      <c r="B5" s="153"/>
      <c r="C5" s="169" t="s">
        <v>2</v>
      </c>
      <c r="D5" s="170" t="s">
        <v>3</v>
      </c>
      <c r="E5" s="158"/>
      <c r="F5" s="162"/>
      <c r="G5" s="163"/>
      <c r="H5" s="164"/>
      <c r="I5" s="165"/>
      <c r="J5" s="163"/>
      <c r="K5" s="159"/>
      <c r="L5" s="162"/>
      <c r="M5" s="163"/>
      <c r="N5" s="164"/>
      <c r="O5" s="165"/>
      <c r="P5" s="163"/>
      <c r="Q5" s="159"/>
      <c r="R5" s="162"/>
      <c r="S5" s="163"/>
      <c r="T5" s="164"/>
      <c r="U5" s="165"/>
      <c r="V5" s="163"/>
      <c r="W5" s="159"/>
      <c r="X5" s="162"/>
      <c r="Y5" s="163"/>
      <c r="Z5" s="164"/>
      <c r="AA5" s="165"/>
      <c r="AB5" s="163"/>
      <c r="AC5" s="159"/>
      <c r="AD5" s="162"/>
      <c r="AE5" s="163"/>
      <c r="AF5" s="164"/>
      <c r="AG5" s="165"/>
      <c r="AH5" s="163"/>
      <c r="AI5" s="159"/>
      <c r="AJ5" s="162"/>
      <c r="AK5" s="163"/>
      <c r="AL5" s="164"/>
      <c r="AM5" s="165"/>
      <c r="AN5" s="163"/>
      <c r="AO5" s="159"/>
      <c r="AP5" s="165"/>
      <c r="AQ5" s="163"/>
      <c r="AR5" s="159"/>
      <c r="AS5" s="172"/>
      <c r="AT5" s="167"/>
    </row>
    <row r="6" spans="2:46" ht="15.75" thickBot="1" x14ac:dyDescent="0.3">
      <c r="B6" s="154"/>
      <c r="C6" s="165"/>
      <c r="D6" s="163"/>
      <c r="E6" s="159"/>
      <c r="F6" s="23" t="s">
        <v>16</v>
      </c>
      <c r="G6" s="24" t="s">
        <v>29</v>
      </c>
      <c r="H6" s="25" t="s">
        <v>3</v>
      </c>
      <c r="I6" s="26" t="s">
        <v>16</v>
      </c>
      <c r="J6" s="24" t="s">
        <v>29</v>
      </c>
      <c r="K6" s="27" t="s">
        <v>3</v>
      </c>
      <c r="L6" s="23" t="s">
        <v>16</v>
      </c>
      <c r="M6" s="24" t="s">
        <v>29</v>
      </c>
      <c r="N6" s="25" t="s">
        <v>3</v>
      </c>
      <c r="O6" s="26" t="s">
        <v>16</v>
      </c>
      <c r="P6" s="24" t="s">
        <v>29</v>
      </c>
      <c r="Q6" s="27" t="s">
        <v>3</v>
      </c>
      <c r="R6" s="23" t="s">
        <v>16</v>
      </c>
      <c r="S6" s="24" t="s">
        <v>29</v>
      </c>
      <c r="T6" s="25" t="s">
        <v>3</v>
      </c>
      <c r="U6" s="26" t="s">
        <v>16</v>
      </c>
      <c r="V6" s="24" t="s">
        <v>29</v>
      </c>
      <c r="W6" s="27" t="s">
        <v>3</v>
      </c>
      <c r="X6" s="23" t="s">
        <v>16</v>
      </c>
      <c r="Y6" s="24" t="s">
        <v>29</v>
      </c>
      <c r="Z6" s="25" t="s">
        <v>3</v>
      </c>
      <c r="AA6" s="26" t="s">
        <v>16</v>
      </c>
      <c r="AB6" s="24" t="s">
        <v>29</v>
      </c>
      <c r="AC6" s="27" t="s">
        <v>3</v>
      </c>
      <c r="AD6" s="23" t="s">
        <v>16</v>
      </c>
      <c r="AE6" s="24" t="s">
        <v>29</v>
      </c>
      <c r="AF6" s="25" t="s">
        <v>3</v>
      </c>
      <c r="AG6" s="26" t="s">
        <v>16</v>
      </c>
      <c r="AH6" s="24" t="s">
        <v>29</v>
      </c>
      <c r="AI6" s="27" t="s">
        <v>3</v>
      </c>
      <c r="AJ6" s="23" t="s">
        <v>16</v>
      </c>
      <c r="AK6" s="24" t="s">
        <v>29</v>
      </c>
      <c r="AL6" s="25" t="s">
        <v>3</v>
      </c>
      <c r="AM6" s="26" t="s">
        <v>16</v>
      </c>
      <c r="AN6" s="24" t="s">
        <v>29</v>
      </c>
      <c r="AO6" s="27" t="s">
        <v>3</v>
      </c>
      <c r="AP6" s="26" t="s">
        <v>16</v>
      </c>
      <c r="AQ6" s="24" t="s">
        <v>29</v>
      </c>
      <c r="AR6" s="27" t="s">
        <v>3</v>
      </c>
      <c r="AS6" s="173"/>
      <c r="AT6" s="168"/>
    </row>
    <row r="7" spans="2:46" x14ac:dyDescent="0.25">
      <c r="B7" s="32" t="s">
        <v>0</v>
      </c>
      <c r="C7" s="33">
        <v>41</v>
      </c>
      <c r="D7" s="34">
        <v>41</v>
      </c>
      <c r="E7" s="35">
        <v>2161</v>
      </c>
      <c r="F7" s="36">
        <v>54.82</v>
      </c>
      <c r="G7" s="37">
        <f>C52*0.06</f>
        <v>8.186399999999999</v>
      </c>
      <c r="H7" s="38">
        <f>F7-G7</f>
        <v>46.633600000000001</v>
      </c>
      <c r="I7" s="39">
        <v>48.96</v>
      </c>
      <c r="J7" s="37">
        <f>D52*0.06</f>
        <v>8.0375999999999994</v>
      </c>
      <c r="K7" s="40">
        <f>I7-J7</f>
        <v>40.922400000000003</v>
      </c>
      <c r="L7" s="36">
        <v>35.210000000000036</v>
      </c>
      <c r="M7" s="37">
        <f>0.06*E52</f>
        <v>7.3511999999999986</v>
      </c>
      <c r="N7" s="38">
        <f>L7-M7</f>
        <v>27.858800000000038</v>
      </c>
      <c r="O7" s="39">
        <v>32.119999999999891</v>
      </c>
      <c r="P7" s="37">
        <f>F52*0.06</f>
        <v>8.1708000000000034</v>
      </c>
      <c r="Q7" s="40">
        <f>O7-P7</f>
        <v>23.949199999999887</v>
      </c>
      <c r="R7" s="36">
        <v>13.89</v>
      </c>
      <c r="S7" s="37">
        <f>G52*0.06</f>
        <v>7.7801999999999989</v>
      </c>
      <c r="T7" s="38">
        <f>R7-S7</f>
        <v>6.1098000000000017</v>
      </c>
      <c r="U7" s="39">
        <v>13.720000000000255</v>
      </c>
      <c r="V7" s="37">
        <f>H52*0.06</f>
        <v>8.4426000000000023</v>
      </c>
      <c r="W7" s="40">
        <f>U7-V7</f>
        <v>5.2774000000002523</v>
      </c>
      <c r="X7" s="36">
        <v>11.079999999999927</v>
      </c>
      <c r="Y7" s="37">
        <f>I52*0.06</f>
        <v>6.8489999999999913</v>
      </c>
      <c r="Z7" s="38">
        <f>X7-Y7</f>
        <v>4.2309999999999359</v>
      </c>
      <c r="AA7" s="39">
        <v>12.02</v>
      </c>
      <c r="AB7" s="37">
        <f>J52*0.06</f>
        <v>7.2089999999999996</v>
      </c>
      <c r="AC7" s="40">
        <f>AA7-AB7</f>
        <v>4.8109999999999999</v>
      </c>
      <c r="AD7" s="36">
        <v>13.59</v>
      </c>
      <c r="AE7" s="37">
        <f>K52*0.06</f>
        <v>7.7826000000000004</v>
      </c>
      <c r="AF7" s="38">
        <f>AD7-AE7</f>
        <v>5.8073999999999995</v>
      </c>
      <c r="AG7" s="39">
        <v>26.81</v>
      </c>
      <c r="AH7" s="37">
        <f>L52*0.06</f>
        <v>8.9789999999999992</v>
      </c>
      <c r="AI7" s="40">
        <f>AG7-AH7</f>
        <v>17.831</v>
      </c>
      <c r="AJ7" s="36">
        <v>34.519999999999527</v>
      </c>
      <c r="AK7" s="37">
        <f>M52*0.06</f>
        <v>8.3496000000000041</v>
      </c>
      <c r="AL7" s="38">
        <f>AJ7-AK7</f>
        <v>26.170399999999525</v>
      </c>
      <c r="AM7" s="41">
        <v>41.730000000000473</v>
      </c>
      <c r="AN7" s="42">
        <f>N52*0.06</f>
        <v>9.267000000000003</v>
      </c>
      <c r="AO7" s="43">
        <f>AM7-AN7</f>
        <v>32.46300000000047</v>
      </c>
      <c r="AP7" s="44">
        <f>F7+I7+L7+O7+R7+U7+X7+AA7+AD7+AG7+AJ7+AM7</f>
        <v>338.47000000000014</v>
      </c>
      <c r="AQ7" s="45">
        <f>G7+J7+M7+P7+S7+V7+Y7+AB7+AE7+AH7+AK7+AN7</f>
        <v>96.405000000000001</v>
      </c>
      <c r="AR7" s="46">
        <f>AP7-AQ7</f>
        <v>242.06500000000014</v>
      </c>
      <c r="AS7" s="47">
        <f>AR7*1000/E7</f>
        <v>112.01527070800562</v>
      </c>
      <c r="AT7" s="48">
        <f>AP7*1000/E7</f>
        <v>156.62656177695516</v>
      </c>
    </row>
    <row r="8" spans="2:46" x14ac:dyDescent="0.25">
      <c r="B8" s="49" t="s">
        <v>19</v>
      </c>
      <c r="C8" s="50">
        <v>18</v>
      </c>
      <c r="D8" s="51">
        <v>18</v>
      </c>
      <c r="E8" s="52">
        <v>795.7</v>
      </c>
      <c r="F8" s="53">
        <v>19.41</v>
      </c>
      <c r="G8" s="54">
        <f>C53*0.06</f>
        <v>2.04</v>
      </c>
      <c r="H8" s="55">
        <f t="shared" ref="H8:H16" si="0">F8-G8</f>
        <v>17.37</v>
      </c>
      <c r="I8" s="56">
        <v>17.760000000000002</v>
      </c>
      <c r="J8" s="54">
        <f t="shared" ref="J8:J10" si="1">D53*0.06</f>
        <v>2.46</v>
      </c>
      <c r="K8" s="57">
        <f t="shared" ref="K8:K16" si="2">I8-J8</f>
        <v>15.3</v>
      </c>
      <c r="L8" s="53">
        <v>12.210000000000036</v>
      </c>
      <c r="M8" s="54">
        <f t="shared" ref="M8:M10" si="3">0.06*E53</f>
        <v>2.1</v>
      </c>
      <c r="N8" s="55">
        <f t="shared" ref="N8:N16" si="4">L8-M8</f>
        <v>10.110000000000037</v>
      </c>
      <c r="O8" s="56">
        <v>9.1999999999998181</v>
      </c>
      <c r="P8" s="54">
        <f t="shared" ref="P8:P10" si="5">F53*0.06</f>
        <v>2.52</v>
      </c>
      <c r="Q8" s="57">
        <f t="shared" ref="Q8:Q16" si="6">O8-P8</f>
        <v>6.6799999999998185</v>
      </c>
      <c r="R8" s="53">
        <v>2.3400000000001455</v>
      </c>
      <c r="S8" s="54">
        <f t="shared" ref="S8:S10" si="7">G53*0.06</f>
        <v>2.1971999999999996</v>
      </c>
      <c r="T8" s="55">
        <f t="shared" ref="T8:T16" si="8">R8-S8</f>
        <v>0.14280000000014592</v>
      </c>
      <c r="U8" s="56">
        <v>2.1900000000000546</v>
      </c>
      <c r="V8" s="54">
        <f t="shared" ref="V8:V10" si="9">H53*0.06</f>
        <v>2.1947999999999999</v>
      </c>
      <c r="W8" s="57">
        <f t="shared" ref="W8:W16" si="10">U8-V8</f>
        <v>-4.7999999999452925E-3</v>
      </c>
      <c r="X8" s="53">
        <v>1.7800000000002001</v>
      </c>
      <c r="Y8" s="54">
        <f t="shared" ref="Y8:Y10" si="11">I53*0.06</f>
        <v>1.7225999999999995</v>
      </c>
      <c r="Z8" s="55">
        <f t="shared" ref="Z8:Z16" si="12">X8-Y8</f>
        <v>5.7400000000200624E-2</v>
      </c>
      <c r="AA8" s="56">
        <v>1.79</v>
      </c>
      <c r="AB8" s="54">
        <f t="shared" ref="AB8:AB10" si="13">J53*0.06</f>
        <v>1.6925999999999999</v>
      </c>
      <c r="AC8" s="57">
        <f t="shared" ref="AC8:AC16" si="14">AA8-AB8</f>
        <v>9.7400000000000153E-2</v>
      </c>
      <c r="AD8" s="53">
        <v>2.0099999999999998</v>
      </c>
      <c r="AE8" s="54">
        <f t="shared" ref="AE8:AE10" si="15">K53*0.06</f>
        <v>1.7556</v>
      </c>
      <c r="AF8" s="55">
        <f t="shared" ref="AF8:AF16" si="16">AD8-AE8</f>
        <v>0.25439999999999974</v>
      </c>
      <c r="AG8" s="56">
        <v>8.1300000000000008</v>
      </c>
      <c r="AH8" s="54">
        <f t="shared" ref="AH8:AH10" si="17">L53*0.06</f>
        <v>1.7946</v>
      </c>
      <c r="AI8" s="57">
        <f t="shared" ref="AI8:AI16" si="18">AG8-AH8</f>
        <v>6.3354000000000008</v>
      </c>
      <c r="AJ8" s="53">
        <v>11.349999999999909</v>
      </c>
      <c r="AK8" s="54">
        <f t="shared" ref="AK8:AK10" si="19">M53*0.06</f>
        <v>1.6998000000000006</v>
      </c>
      <c r="AL8" s="55">
        <f t="shared" ref="AL8:AL16" si="20">AJ8-AK8</f>
        <v>9.6501999999999093</v>
      </c>
      <c r="AM8" s="56">
        <v>12.960000000000036</v>
      </c>
      <c r="AN8" s="54">
        <f t="shared" ref="AN8:AN10" si="21">N53*0.06</f>
        <v>1.6823999999999995</v>
      </c>
      <c r="AO8" s="57">
        <f t="shared" ref="AO8:AO16" si="22">AM8-AN8</f>
        <v>11.277600000000037</v>
      </c>
      <c r="AP8" s="58">
        <f t="shared" ref="AP8:AP39" si="23">F8+I8+L8+O8+R8+U8+X8+AA8+AD8+AG8+AJ8+AM8</f>
        <v>101.13000000000021</v>
      </c>
      <c r="AQ8" s="59">
        <f t="shared" ref="AQ8:AQ39" si="24">G8+J8+M8+P8+S8+V8+Y8+AB8+AE8+AH8+AK8+AN8</f>
        <v>23.8596</v>
      </c>
      <c r="AR8" s="60">
        <f t="shared" ref="AR8:AR39" si="25">AP8-AQ8</f>
        <v>77.270400000000208</v>
      </c>
      <c r="AS8" s="61">
        <f t="shared" ref="AS8:AS39" si="26">AR8*1000/E8</f>
        <v>97.109966067613684</v>
      </c>
      <c r="AT8" s="61">
        <f t="shared" ref="AT8:AT39" si="27">AP8*1000/E8</f>
        <v>127.09563905994746</v>
      </c>
    </row>
    <row r="9" spans="2:46" x14ac:dyDescent="0.25">
      <c r="B9" s="49" t="s">
        <v>20</v>
      </c>
      <c r="C9" s="50">
        <v>22</v>
      </c>
      <c r="D9" s="51">
        <v>22</v>
      </c>
      <c r="E9" s="52">
        <v>1133.8</v>
      </c>
      <c r="F9" s="53">
        <v>33.36</v>
      </c>
      <c r="G9" s="54">
        <f>C54*0.06</f>
        <v>2.9663999999999997</v>
      </c>
      <c r="H9" s="55">
        <f t="shared" si="0"/>
        <v>30.393599999999999</v>
      </c>
      <c r="I9" s="56">
        <v>30.99</v>
      </c>
      <c r="J9" s="54">
        <f t="shared" si="1"/>
        <v>2.6831999999999998</v>
      </c>
      <c r="K9" s="57">
        <f t="shared" si="2"/>
        <v>28.306799999999999</v>
      </c>
      <c r="L9" s="53">
        <v>24.090000000000146</v>
      </c>
      <c r="M9" s="54">
        <f t="shared" si="3"/>
        <v>2.6970000000000001</v>
      </c>
      <c r="N9" s="55">
        <f t="shared" si="4"/>
        <v>21.393000000000146</v>
      </c>
      <c r="O9" s="56">
        <v>23.180000000000291</v>
      </c>
      <c r="P9" s="54">
        <f t="shared" si="5"/>
        <v>2.8829999999999996</v>
      </c>
      <c r="Q9" s="57">
        <f t="shared" si="6"/>
        <v>20.297000000000292</v>
      </c>
      <c r="R9" s="53">
        <v>8.68</v>
      </c>
      <c r="S9" s="54">
        <f t="shared" si="7"/>
        <v>2.7036000000000002</v>
      </c>
      <c r="T9" s="55">
        <f t="shared" si="8"/>
        <v>5.9763999999999999</v>
      </c>
      <c r="U9" s="56">
        <v>10.429999999999382</v>
      </c>
      <c r="V9" s="54">
        <f t="shared" si="9"/>
        <v>2.6231999999999998</v>
      </c>
      <c r="W9" s="57">
        <f t="shared" si="10"/>
        <v>7.8067999999993818</v>
      </c>
      <c r="X9" s="53">
        <v>4.4700000000011642</v>
      </c>
      <c r="Y9" s="54">
        <f t="shared" si="11"/>
        <v>2.1132</v>
      </c>
      <c r="Z9" s="55">
        <f t="shared" si="12"/>
        <v>2.3568000000011642</v>
      </c>
      <c r="AA9" s="56">
        <v>6.8</v>
      </c>
      <c r="AB9" s="54">
        <f t="shared" si="13"/>
        <v>2.1197999999999997</v>
      </c>
      <c r="AC9" s="57">
        <f t="shared" si="14"/>
        <v>4.6802000000000001</v>
      </c>
      <c r="AD9" s="53">
        <v>7.42</v>
      </c>
      <c r="AE9" s="54">
        <f t="shared" si="15"/>
        <v>2.6177999999999999</v>
      </c>
      <c r="AF9" s="55">
        <f t="shared" si="16"/>
        <v>4.8022</v>
      </c>
      <c r="AG9" s="56">
        <v>12.9</v>
      </c>
      <c r="AH9" s="54">
        <f t="shared" si="17"/>
        <v>2.5236000000000001</v>
      </c>
      <c r="AI9" s="57">
        <f t="shared" si="18"/>
        <v>10.3764</v>
      </c>
      <c r="AJ9" s="53">
        <v>20.219999999999345</v>
      </c>
      <c r="AK9" s="54">
        <f t="shared" si="19"/>
        <v>2.4960000000000013</v>
      </c>
      <c r="AL9" s="55">
        <f t="shared" si="20"/>
        <v>17.723999999999343</v>
      </c>
      <c r="AM9" s="56">
        <v>22.5</v>
      </c>
      <c r="AN9" s="54">
        <f t="shared" si="21"/>
        <v>2.7767999999999984</v>
      </c>
      <c r="AO9" s="57">
        <f t="shared" si="22"/>
        <v>19.723200000000002</v>
      </c>
      <c r="AP9" s="58">
        <f t="shared" si="23"/>
        <v>205.04000000000033</v>
      </c>
      <c r="AQ9" s="59">
        <f t="shared" si="24"/>
        <v>31.203599999999991</v>
      </c>
      <c r="AR9" s="60">
        <f t="shared" si="25"/>
        <v>173.83640000000034</v>
      </c>
      <c r="AS9" s="61">
        <f t="shared" si="26"/>
        <v>153.32192626565563</v>
      </c>
      <c r="AT9" s="61">
        <f t="shared" si="27"/>
        <v>180.84318221908654</v>
      </c>
    </row>
    <row r="10" spans="2:46" x14ac:dyDescent="0.25">
      <c r="B10" s="49" t="s">
        <v>21</v>
      </c>
      <c r="C10" s="50">
        <v>96</v>
      </c>
      <c r="D10" s="51">
        <v>96</v>
      </c>
      <c r="E10" s="52">
        <v>3513.7</v>
      </c>
      <c r="F10" s="53">
        <v>91.24</v>
      </c>
      <c r="G10" s="54">
        <f>C55*0.06</f>
        <v>6.8681999999999999</v>
      </c>
      <c r="H10" s="55">
        <f t="shared" si="0"/>
        <v>84.371799999999993</v>
      </c>
      <c r="I10" s="56">
        <v>87.75</v>
      </c>
      <c r="J10" s="54">
        <f t="shared" si="1"/>
        <v>7.2839999999999998</v>
      </c>
      <c r="K10" s="57">
        <f t="shared" si="2"/>
        <v>80.465999999999994</v>
      </c>
      <c r="L10" s="53">
        <v>69.600000000000364</v>
      </c>
      <c r="M10" s="54">
        <f t="shared" si="3"/>
        <v>6.8022</v>
      </c>
      <c r="N10" s="55">
        <f t="shared" si="4"/>
        <v>62.797800000000365</v>
      </c>
      <c r="O10" s="56">
        <v>64.479999999999563</v>
      </c>
      <c r="P10" s="54">
        <f t="shared" si="5"/>
        <v>7.6248000000000022</v>
      </c>
      <c r="Q10" s="57">
        <f t="shared" si="6"/>
        <v>56.855199999999563</v>
      </c>
      <c r="R10" s="53">
        <v>23.61</v>
      </c>
      <c r="S10" s="54">
        <f t="shared" si="7"/>
        <v>6.9683999999999999</v>
      </c>
      <c r="T10" s="55">
        <f t="shared" si="8"/>
        <v>16.6416</v>
      </c>
      <c r="U10" s="56">
        <v>22.739999999999782</v>
      </c>
      <c r="V10" s="54">
        <f t="shared" si="9"/>
        <v>6.5988000000000007</v>
      </c>
      <c r="W10" s="57">
        <f t="shared" si="10"/>
        <v>16.141199999999781</v>
      </c>
      <c r="X10" s="53">
        <v>18.380000000000109</v>
      </c>
      <c r="Y10" s="54">
        <f t="shared" si="11"/>
        <v>4.8533999999999988</v>
      </c>
      <c r="Z10" s="55">
        <f t="shared" si="12"/>
        <v>13.52660000000011</v>
      </c>
      <c r="AA10" s="56">
        <v>19.79</v>
      </c>
      <c r="AB10" s="54">
        <f t="shared" si="13"/>
        <v>5.4809999999999999</v>
      </c>
      <c r="AC10" s="57">
        <f t="shared" si="14"/>
        <v>14.308999999999999</v>
      </c>
      <c r="AD10" s="53">
        <v>21.65</v>
      </c>
      <c r="AE10" s="54">
        <f t="shared" si="15"/>
        <v>7.0823999999999998</v>
      </c>
      <c r="AF10" s="55">
        <f t="shared" si="16"/>
        <v>14.567599999999999</v>
      </c>
      <c r="AG10" s="56">
        <v>45.98</v>
      </c>
      <c r="AH10" s="54">
        <f t="shared" si="17"/>
        <v>7.9026000000000005</v>
      </c>
      <c r="AI10" s="57">
        <f t="shared" si="18"/>
        <v>38.077399999999997</v>
      </c>
      <c r="AJ10" s="53">
        <v>69.639999999999418</v>
      </c>
      <c r="AK10" s="54">
        <f t="shared" si="19"/>
        <v>7.7411999999999983</v>
      </c>
      <c r="AL10" s="55">
        <f t="shared" si="20"/>
        <v>61.898799999999419</v>
      </c>
      <c r="AM10" s="56">
        <v>76.430000000000291</v>
      </c>
      <c r="AN10" s="54">
        <f t="shared" si="21"/>
        <v>8.4947999999999961</v>
      </c>
      <c r="AO10" s="57">
        <f t="shared" si="22"/>
        <v>67.935200000000293</v>
      </c>
      <c r="AP10" s="58">
        <f t="shared" si="23"/>
        <v>611.28999999999951</v>
      </c>
      <c r="AQ10" s="59">
        <f t="shared" si="24"/>
        <v>83.701799999999992</v>
      </c>
      <c r="AR10" s="60">
        <f t="shared" si="25"/>
        <v>527.58819999999946</v>
      </c>
      <c r="AS10" s="61">
        <f t="shared" si="26"/>
        <v>150.15174886871375</v>
      </c>
      <c r="AT10" s="61">
        <f t="shared" si="27"/>
        <v>173.97330449383827</v>
      </c>
    </row>
    <row r="11" spans="2:46" x14ac:dyDescent="0.25">
      <c r="B11" s="62" t="s">
        <v>22</v>
      </c>
      <c r="C11" s="63">
        <v>0</v>
      </c>
      <c r="D11" s="64">
        <v>1</v>
      </c>
      <c r="E11" s="65">
        <v>40.4</v>
      </c>
      <c r="F11" s="28">
        <v>0.87</v>
      </c>
      <c r="G11" s="66">
        <v>0</v>
      </c>
      <c r="H11" s="67">
        <f t="shared" si="0"/>
        <v>0.87</v>
      </c>
      <c r="I11" s="29">
        <v>0.61</v>
      </c>
      <c r="J11" s="66">
        <v>0</v>
      </c>
      <c r="K11" s="68">
        <f t="shared" si="2"/>
        <v>0.61</v>
      </c>
      <c r="L11" s="28">
        <v>0.67</v>
      </c>
      <c r="M11" s="66">
        <v>0</v>
      </c>
      <c r="N11" s="67">
        <f t="shared" si="4"/>
        <v>0.67</v>
      </c>
      <c r="O11" s="29">
        <v>0.45</v>
      </c>
      <c r="P11" s="66">
        <v>0</v>
      </c>
      <c r="Q11" s="68">
        <f t="shared" si="6"/>
        <v>0.45</v>
      </c>
      <c r="R11" s="28">
        <v>0</v>
      </c>
      <c r="S11" s="66">
        <v>0</v>
      </c>
      <c r="T11" s="67">
        <f t="shared" si="8"/>
        <v>0</v>
      </c>
      <c r="U11" s="29">
        <v>0</v>
      </c>
      <c r="V11" s="66">
        <v>0</v>
      </c>
      <c r="W11" s="68">
        <f t="shared" si="10"/>
        <v>0</v>
      </c>
      <c r="X11" s="28">
        <v>0</v>
      </c>
      <c r="Y11" s="66">
        <v>0</v>
      </c>
      <c r="Z11" s="67">
        <f t="shared" si="12"/>
        <v>0</v>
      </c>
      <c r="AA11" s="29">
        <v>0</v>
      </c>
      <c r="AB11" s="66">
        <v>0</v>
      </c>
      <c r="AC11" s="68">
        <f t="shared" si="14"/>
        <v>0</v>
      </c>
      <c r="AD11" s="28">
        <v>0</v>
      </c>
      <c r="AE11" s="66">
        <v>0</v>
      </c>
      <c r="AF11" s="67">
        <f t="shared" si="16"/>
        <v>0</v>
      </c>
      <c r="AG11" s="29">
        <v>0.11</v>
      </c>
      <c r="AH11" s="66">
        <v>0</v>
      </c>
      <c r="AI11" s="68">
        <f t="shared" si="18"/>
        <v>0.11</v>
      </c>
      <c r="AJ11" s="28">
        <v>0.25</v>
      </c>
      <c r="AK11" s="66">
        <v>0</v>
      </c>
      <c r="AL11" s="67">
        <f t="shared" si="20"/>
        <v>0.25</v>
      </c>
      <c r="AM11" s="29">
        <v>0.59000000000003183</v>
      </c>
      <c r="AN11" s="66">
        <v>0</v>
      </c>
      <c r="AO11" s="68">
        <f t="shared" si="22"/>
        <v>0.59000000000003183</v>
      </c>
      <c r="AP11" s="69">
        <f t="shared" si="23"/>
        <v>3.5500000000000318</v>
      </c>
      <c r="AQ11" s="66">
        <f t="shared" si="24"/>
        <v>0</v>
      </c>
      <c r="AR11" s="68">
        <f t="shared" si="25"/>
        <v>3.5500000000000318</v>
      </c>
      <c r="AS11" s="70">
        <f t="shared" si="26"/>
        <v>87.871287128713661</v>
      </c>
      <c r="AT11" s="70">
        <f t="shared" si="27"/>
        <v>87.871287128713661</v>
      </c>
    </row>
    <row r="12" spans="2:46" x14ac:dyDescent="0.25">
      <c r="B12" s="62" t="s">
        <v>23</v>
      </c>
      <c r="C12" s="63">
        <v>0</v>
      </c>
      <c r="D12" s="64">
        <v>60</v>
      </c>
      <c r="E12" s="65">
        <v>2651.1</v>
      </c>
      <c r="F12" s="28">
        <v>68.08</v>
      </c>
      <c r="G12" s="66">
        <v>0</v>
      </c>
      <c r="H12" s="67">
        <f t="shared" si="0"/>
        <v>68.08</v>
      </c>
      <c r="I12" s="29">
        <v>45.79</v>
      </c>
      <c r="J12" s="66">
        <v>0</v>
      </c>
      <c r="K12" s="68">
        <f t="shared" si="2"/>
        <v>45.79</v>
      </c>
      <c r="L12" s="28">
        <v>44.16</v>
      </c>
      <c r="M12" s="66">
        <v>0</v>
      </c>
      <c r="N12" s="67">
        <f t="shared" si="4"/>
        <v>44.16</v>
      </c>
      <c r="O12" s="29">
        <v>24</v>
      </c>
      <c r="P12" s="66">
        <v>0</v>
      </c>
      <c r="Q12" s="68">
        <f t="shared" si="6"/>
        <v>24</v>
      </c>
      <c r="R12" s="28">
        <v>0</v>
      </c>
      <c r="S12" s="66">
        <v>0</v>
      </c>
      <c r="T12" s="67">
        <f t="shared" si="8"/>
        <v>0</v>
      </c>
      <c r="U12" s="29">
        <v>0</v>
      </c>
      <c r="V12" s="66">
        <v>0</v>
      </c>
      <c r="W12" s="68">
        <f t="shared" si="10"/>
        <v>0</v>
      </c>
      <c r="X12" s="28">
        <v>0</v>
      </c>
      <c r="Y12" s="66">
        <v>0</v>
      </c>
      <c r="Z12" s="67">
        <f t="shared" si="12"/>
        <v>0</v>
      </c>
      <c r="AA12" s="29">
        <v>0</v>
      </c>
      <c r="AB12" s="66">
        <v>0</v>
      </c>
      <c r="AC12" s="68">
        <f t="shared" si="14"/>
        <v>0</v>
      </c>
      <c r="AD12" s="28">
        <v>0</v>
      </c>
      <c r="AE12" s="66">
        <v>0</v>
      </c>
      <c r="AF12" s="67">
        <f t="shared" si="16"/>
        <v>0</v>
      </c>
      <c r="AG12" s="29">
        <v>20.260000000000002</v>
      </c>
      <c r="AH12" s="66">
        <v>0</v>
      </c>
      <c r="AI12" s="68">
        <f t="shared" si="18"/>
        <v>20.260000000000002</v>
      </c>
      <c r="AJ12" s="28">
        <v>25.64</v>
      </c>
      <c r="AK12" s="66">
        <v>0</v>
      </c>
      <c r="AL12" s="67">
        <f t="shared" si="20"/>
        <v>25.64</v>
      </c>
      <c r="AM12" s="29">
        <v>40.150000000000546</v>
      </c>
      <c r="AN12" s="66">
        <v>0</v>
      </c>
      <c r="AO12" s="68">
        <f t="shared" si="22"/>
        <v>40.150000000000546</v>
      </c>
      <c r="AP12" s="69">
        <f t="shared" si="23"/>
        <v>268.08000000000055</v>
      </c>
      <c r="AQ12" s="66">
        <f t="shared" si="24"/>
        <v>0</v>
      </c>
      <c r="AR12" s="68">
        <f t="shared" si="25"/>
        <v>268.08000000000055</v>
      </c>
      <c r="AS12" s="70">
        <f t="shared" si="26"/>
        <v>101.12028969107183</v>
      </c>
      <c r="AT12" s="70">
        <f t="shared" si="27"/>
        <v>101.12028969107183</v>
      </c>
    </row>
    <row r="13" spans="2:46" x14ac:dyDescent="0.25">
      <c r="B13" s="62" t="s">
        <v>24</v>
      </c>
      <c r="C13" s="63">
        <v>0</v>
      </c>
      <c r="D13" s="64">
        <v>18</v>
      </c>
      <c r="E13" s="65">
        <v>960.3</v>
      </c>
      <c r="F13" s="28">
        <v>23.18</v>
      </c>
      <c r="G13" s="66">
        <v>0</v>
      </c>
      <c r="H13" s="67">
        <f t="shared" si="0"/>
        <v>23.18</v>
      </c>
      <c r="I13" s="29">
        <v>15.61</v>
      </c>
      <c r="J13" s="66">
        <v>0</v>
      </c>
      <c r="K13" s="68">
        <f t="shared" si="2"/>
        <v>15.61</v>
      </c>
      <c r="L13" s="28">
        <v>15.35</v>
      </c>
      <c r="M13" s="66">
        <v>0</v>
      </c>
      <c r="N13" s="67">
        <f t="shared" si="4"/>
        <v>15.35</v>
      </c>
      <c r="O13" s="29">
        <v>9.81</v>
      </c>
      <c r="P13" s="66">
        <v>0</v>
      </c>
      <c r="Q13" s="68">
        <f t="shared" si="6"/>
        <v>9.81</v>
      </c>
      <c r="R13" s="28">
        <v>0</v>
      </c>
      <c r="S13" s="66">
        <v>0</v>
      </c>
      <c r="T13" s="67">
        <f t="shared" si="8"/>
        <v>0</v>
      </c>
      <c r="U13" s="29">
        <v>0</v>
      </c>
      <c r="V13" s="66">
        <v>0</v>
      </c>
      <c r="W13" s="68">
        <f t="shared" si="10"/>
        <v>0</v>
      </c>
      <c r="X13" s="28">
        <v>0</v>
      </c>
      <c r="Y13" s="66">
        <v>0</v>
      </c>
      <c r="Z13" s="67">
        <f t="shared" si="12"/>
        <v>0</v>
      </c>
      <c r="AA13" s="29">
        <v>0</v>
      </c>
      <c r="AB13" s="66">
        <v>0</v>
      </c>
      <c r="AC13" s="68">
        <f t="shared" si="14"/>
        <v>0</v>
      </c>
      <c r="AD13" s="28">
        <v>0</v>
      </c>
      <c r="AE13" s="66">
        <v>0</v>
      </c>
      <c r="AF13" s="67">
        <f t="shared" si="16"/>
        <v>0</v>
      </c>
      <c r="AG13" s="29">
        <v>9.61</v>
      </c>
      <c r="AH13" s="66">
        <v>0</v>
      </c>
      <c r="AI13" s="68">
        <f t="shared" si="18"/>
        <v>9.61</v>
      </c>
      <c r="AJ13" s="28">
        <v>14.01</v>
      </c>
      <c r="AK13" s="66">
        <v>0</v>
      </c>
      <c r="AL13" s="67">
        <f t="shared" si="20"/>
        <v>14.01</v>
      </c>
      <c r="AM13" s="29">
        <v>14.189999999999998</v>
      </c>
      <c r="AN13" s="66">
        <v>0</v>
      </c>
      <c r="AO13" s="68">
        <f t="shared" si="22"/>
        <v>14.189999999999998</v>
      </c>
      <c r="AP13" s="69">
        <f t="shared" si="23"/>
        <v>101.76</v>
      </c>
      <c r="AQ13" s="66">
        <f t="shared" si="24"/>
        <v>0</v>
      </c>
      <c r="AR13" s="68">
        <f t="shared" si="25"/>
        <v>101.76</v>
      </c>
      <c r="AS13" s="70">
        <f t="shared" si="26"/>
        <v>105.96688534832865</v>
      </c>
      <c r="AT13" s="70">
        <f t="shared" si="27"/>
        <v>105.96688534832865</v>
      </c>
    </row>
    <row r="14" spans="2:46" x14ac:dyDescent="0.25">
      <c r="B14" s="62" t="s">
        <v>25</v>
      </c>
      <c r="C14" s="63">
        <v>0</v>
      </c>
      <c r="D14" s="64">
        <v>18</v>
      </c>
      <c r="E14" s="65">
        <v>1001.3</v>
      </c>
      <c r="F14" s="28">
        <v>29.04</v>
      </c>
      <c r="G14" s="66">
        <v>0</v>
      </c>
      <c r="H14" s="67">
        <f t="shared" si="0"/>
        <v>29.04</v>
      </c>
      <c r="I14" s="29">
        <v>19.38</v>
      </c>
      <c r="J14" s="66">
        <v>0</v>
      </c>
      <c r="K14" s="68">
        <f t="shared" si="2"/>
        <v>19.38</v>
      </c>
      <c r="L14" s="28">
        <v>19.13</v>
      </c>
      <c r="M14" s="66">
        <v>0</v>
      </c>
      <c r="N14" s="67">
        <f t="shared" si="4"/>
        <v>19.13</v>
      </c>
      <c r="O14" s="29">
        <v>12.11</v>
      </c>
      <c r="P14" s="66">
        <v>0</v>
      </c>
      <c r="Q14" s="68">
        <f t="shared" si="6"/>
        <v>12.11</v>
      </c>
      <c r="R14" s="28">
        <v>0</v>
      </c>
      <c r="S14" s="66">
        <v>0</v>
      </c>
      <c r="T14" s="67">
        <f t="shared" si="8"/>
        <v>0</v>
      </c>
      <c r="U14" s="29">
        <v>0</v>
      </c>
      <c r="V14" s="66">
        <v>0</v>
      </c>
      <c r="W14" s="68">
        <f t="shared" si="10"/>
        <v>0</v>
      </c>
      <c r="X14" s="28">
        <v>0</v>
      </c>
      <c r="Y14" s="66">
        <v>0</v>
      </c>
      <c r="Z14" s="67">
        <f t="shared" si="12"/>
        <v>0</v>
      </c>
      <c r="AA14" s="29">
        <v>0</v>
      </c>
      <c r="AB14" s="66">
        <v>0</v>
      </c>
      <c r="AC14" s="68">
        <f t="shared" si="14"/>
        <v>0</v>
      </c>
      <c r="AD14" s="28">
        <v>0</v>
      </c>
      <c r="AE14" s="66">
        <v>0</v>
      </c>
      <c r="AF14" s="67">
        <f t="shared" si="16"/>
        <v>0</v>
      </c>
      <c r="AG14" s="29">
        <v>11.24</v>
      </c>
      <c r="AH14" s="66">
        <v>0</v>
      </c>
      <c r="AI14" s="68">
        <f t="shared" si="18"/>
        <v>11.24</v>
      </c>
      <c r="AJ14" s="28">
        <v>17.309999999999999</v>
      </c>
      <c r="AK14" s="66">
        <v>0</v>
      </c>
      <c r="AL14" s="67">
        <f t="shared" si="20"/>
        <v>17.309999999999999</v>
      </c>
      <c r="AM14" s="29">
        <v>17.710000000000036</v>
      </c>
      <c r="AN14" s="66">
        <v>0</v>
      </c>
      <c r="AO14" s="68">
        <f t="shared" si="22"/>
        <v>17.710000000000036</v>
      </c>
      <c r="AP14" s="69">
        <f t="shared" si="23"/>
        <v>125.92000000000003</v>
      </c>
      <c r="AQ14" s="66">
        <f t="shared" si="24"/>
        <v>0</v>
      </c>
      <c r="AR14" s="68">
        <f t="shared" si="25"/>
        <v>125.92000000000003</v>
      </c>
      <c r="AS14" s="70">
        <f t="shared" si="26"/>
        <v>125.75651652851296</v>
      </c>
      <c r="AT14" s="70">
        <f t="shared" si="27"/>
        <v>125.75651652851296</v>
      </c>
    </row>
    <row r="15" spans="2:46" x14ac:dyDescent="0.25">
      <c r="B15" s="62" t="s">
        <v>26</v>
      </c>
      <c r="C15" s="63">
        <v>0</v>
      </c>
      <c r="D15" s="64">
        <v>3</v>
      </c>
      <c r="E15" s="65">
        <v>148.30000000000001</v>
      </c>
      <c r="F15" s="28">
        <v>4.51</v>
      </c>
      <c r="G15" s="66">
        <v>0</v>
      </c>
      <c r="H15" s="67">
        <f t="shared" si="0"/>
        <v>4.51</v>
      </c>
      <c r="I15" s="29">
        <v>3.17</v>
      </c>
      <c r="J15" s="66">
        <v>0</v>
      </c>
      <c r="K15" s="68">
        <f t="shared" si="2"/>
        <v>3.17</v>
      </c>
      <c r="L15" s="28">
        <v>3.03</v>
      </c>
      <c r="M15" s="66">
        <v>0</v>
      </c>
      <c r="N15" s="67">
        <f t="shared" si="4"/>
        <v>3.03</v>
      </c>
      <c r="O15" s="29">
        <v>1.93</v>
      </c>
      <c r="P15" s="66">
        <v>0</v>
      </c>
      <c r="Q15" s="68">
        <f t="shared" si="6"/>
        <v>1.93</v>
      </c>
      <c r="R15" s="28">
        <v>0</v>
      </c>
      <c r="S15" s="66">
        <v>0</v>
      </c>
      <c r="T15" s="67">
        <f t="shared" si="8"/>
        <v>0</v>
      </c>
      <c r="U15" s="29">
        <v>0</v>
      </c>
      <c r="V15" s="66">
        <v>0</v>
      </c>
      <c r="W15" s="68">
        <f t="shared" si="10"/>
        <v>0</v>
      </c>
      <c r="X15" s="28">
        <v>0</v>
      </c>
      <c r="Y15" s="66">
        <v>0</v>
      </c>
      <c r="Z15" s="67">
        <f t="shared" si="12"/>
        <v>0</v>
      </c>
      <c r="AA15" s="29">
        <v>0</v>
      </c>
      <c r="AB15" s="66">
        <v>0</v>
      </c>
      <c r="AC15" s="68">
        <f t="shared" si="14"/>
        <v>0</v>
      </c>
      <c r="AD15" s="28">
        <v>0</v>
      </c>
      <c r="AE15" s="66">
        <v>0</v>
      </c>
      <c r="AF15" s="67">
        <f t="shared" si="16"/>
        <v>0</v>
      </c>
      <c r="AG15" s="29">
        <v>1.9</v>
      </c>
      <c r="AH15" s="66">
        <v>0</v>
      </c>
      <c r="AI15" s="68">
        <f t="shared" si="18"/>
        <v>1.9</v>
      </c>
      <c r="AJ15" s="28">
        <v>3.12</v>
      </c>
      <c r="AK15" s="66">
        <v>0</v>
      </c>
      <c r="AL15" s="67">
        <f t="shared" si="20"/>
        <v>3.12</v>
      </c>
      <c r="AM15" s="29">
        <v>3.5799999999999841</v>
      </c>
      <c r="AN15" s="66">
        <v>0</v>
      </c>
      <c r="AO15" s="68">
        <f t="shared" si="22"/>
        <v>3.5799999999999841</v>
      </c>
      <c r="AP15" s="29">
        <f t="shared" si="23"/>
        <v>21.239999999999984</v>
      </c>
      <c r="AQ15" s="66">
        <f t="shared" si="24"/>
        <v>0</v>
      </c>
      <c r="AR15" s="68">
        <f t="shared" si="25"/>
        <v>21.239999999999984</v>
      </c>
      <c r="AS15" s="70">
        <f t="shared" si="26"/>
        <v>143.22319622387042</v>
      </c>
      <c r="AT15" s="70">
        <f t="shared" si="27"/>
        <v>143.22319622387042</v>
      </c>
    </row>
    <row r="16" spans="2:46" ht="15.75" thickBot="1" x14ac:dyDescent="0.3">
      <c r="B16" s="137" t="s">
        <v>55</v>
      </c>
      <c r="C16" s="72">
        <v>0</v>
      </c>
      <c r="D16" s="73">
        <v>9</v>
      </c>
      <c r="E16" s="74">
        <v>363.2</v>
      </c>
      <c r="F16" s="75">
        <v>11.19</v>
      </c>
      <c r="G16" s="76">
        <v>0</v>
      </c>
      <c r="H16" s="77">
        <f t="shared" si="0"/>
        <v>11.19</v>
      </c>
      <c r="I16" s="31">
        <v>9</v>
      </c>
      <c r="J16" s="76">
        <v>0</v>
      </c>
      <c r="K16" s="30">
        <f t="shared" si="2"/>
        <v>9</v>
      </c>
      <c r="L16" s="75">
        <v>8.58</v>
      </c>
      <c r="M16" s="76">
        <v>0</v>
      </c>
      <c r="N16" s="77">
        <f t="shared" si="4"/>
        <v>8.58</v>
      </c>
      <c r="O16" s="31">
        <v>5.97</v>
      </c>
      <c r="P16" s="76">
        <v>0</v>
      </c>
      <c r="Q16" s="30">
        <f t="shared" si="6"/>
        <v>5.97</v>
      </c>
      <c r="R16" s="75">
        <v>0</v>
      </c>
      <c r="S16" s="76">
        <v>0</v>
      </c>
      <c r="T16" s="77">
        <f t="shared" si="8"/>
        <v>0</v>
      </c>
      <c r="U16" s="31">
        <v>0</v>
      </c>
      <c r="V16" s="76">
        <v>0</v>
      </c>
      <c r="W16" s="30">
        <f t="shared" si="10"/>
        <v>0</v>
      </c>
      <c r="X16" s="75">
        <v>0</v>
      </c>
      <c r="Y16" s="76">
        <v>0</v>
      </c>
      <c r="Z16" s="77">
        <f t="shared" si="12"/>
        <v>0</v>
      </c>
      <c r="AA16" s="31">
        <v>0</v>
      </c>
      <c r="AB16" s="76">
        <v>0</v>
      </c>
      <c r="AC16" s="30">
        <f t="shared" si="14"/>
        <v>0</v>
      </c>
      <c r="AD16" s="75">
        <v>0</v>
      </c>
      <c r="AE16" s="76">
        <v>0</v>
      </c>
      <c r="AF16" s="77">
        <f t="shared" si="16"/>
        <v>0</v>
      </c>
      <c r="AG16" s="31">
        <v>6.23</v>
      </c>
      <c r="AH16" s="76">
        <v>0</v>
      </c>
      <c r="AI16" s="30">
        <f t="shared" si="18"/>
        <v>6.23</v>
      </c>
      <c r="AJ16" s="75">
        <v>9.1199999999999992</v>
      </c>
      <c r="AK16" s="76">
        <v>0</v>
      </c>
      <c r="AL16" s="77">
        <f t="shared" si="20"/>
        <v>9.1199999999999992</v>
      </c>
      <c r="AM16" s="31">
        <v>10.69</v>
      </c>
      <c r="AN16" s="76">
        <v>0</v>
      </c>
      <c r="AO16" s="30">
        <f t="shared" si="22"/>
        <v>10.69</v>
      </c>
      <c r="AP16" s="31">
        <f t="shared" si="23"/>
        <v>60.779999999999994</v>
      </c>
      <c r="AQ16" s="76">
        <f t="shared" si="24"/>
        <v>0</v>
      </c>
      <c r="AR16" s="30">
        <f t="shared" si="25"/>
        <v>60.779999999999994</v>
      </c>
      <c r="AS16" s="78">
        <f t="shared" si="26"/>
        <v>167.34581497797356</v>
      </c>
      <c r="AT16" s="78">
        <f t="shared" si="27"/>
        <v>167.34581497797356</v>
      </c>
    </row>
    <row r="17" spans="1:46" ht="15.75" customHeight="1" thickBot="1" x14ac:dyDescent="0.3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80"/>
      <c r="AQ17" s="80"/>
      <c r="AR17" s="20" t="s">
        <v>50</v>
      </c>
      <c r="AS17" s="21">
        <f>AVERAGE(AS7:AS16)</f>
        <v>124.38829018084598</v>
      </c>
      <c r="AT17" s="22">
        <f>AVERAGE(AT7:AT16)</f>
        <v>136.98226774482984</v>
      </c>
    </row>
    <row r="18" spans="1:46" ht="21.75" thickBot="1" x14ac:dyDescent="0.3">
      <c r="A18" s="79"/>
      <c r="B18" s="139"/>
      <c r="C18" s="150" t="s">
        <v>59</v>
      </c>
      <c r="D18" s="150"/>
      <c r="E18" s="150"/>
      <c r="F18" s="150"/>
      <c r="G18" s="150"/>
      <c r="H18" s="150"/>
      <c r="I18" s="150"/>
      <c r="J18" s="15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1"/>
    </row>
    <row r="19" spans="1:46" x14ac:dyDescent="0.25">
      <c r="A19" s="79"/>
      <c r="B19" s="152" t="s">
        <v>18</v>
      </c>
      <c r="C19" s="155" t="s">
        <v>1</v>
      </c>
      <c r="D19" s="156"/>
      <c r="E19" s="157" t="s">
        <v>17</v>
      </c>
      <c r="F19" s="160" t="s">
        <v>4</v>
      </c>
      <c r="G19" s="156"/>
      <c r="H19" s="161"/>
      <c r="I19" s="155" t="s">
        <v>5</v>
      </c>
      <c r="J19" s="156"/>
      <c r="K19" s="157"/>
      <c r="L19" s="160" t="s">
        <v>6</v>
      </c>
      <c r="M19" s="156"/>
      <c r="N19" s="161"/>
      <c r="O19" s="155" t="s">
        <v>7</v>
      </c>
      <c r="P19" s="156"/>
      <c r="Q19" s="157"/>
      <c r="R19" s="160" t="s">
        <v>8</v>
      </c>
      <c r="S19" s="156"/>
      <c r="T19" s="161"/>
      <c r="U19" s="155" t="s">
        <v>9</v>
      </c>
      <c r="V19" s="156"/>
      <c r="W19" s="157"/>
      <c r="X19" s="160" t="s">
        <v>10</v>
      </c>
      <c r="Y19" s="156"/>
      <c r="Z19" s="161"/>
      <c r="AA19" s="155" t="s">
        <v>11</v>
      </c>
      <c r="AB19" s="156"/>
      <c r="AC19" s="157"/>
      <c r="AD19" s="160" t="s">
        <v>12</v>
      </c>
      <c r="AE19" s="156"/>
      <c r="AF19" s="161"/>
      <c r="AG19" s="155" t="s">
        <v>13</v>
      </c>
      <c r="AH19" s="156"/>
      <c r="AI19" s="157"/>
      <c r="AJ19" s="160" t="s">
        <v>14</v>
      </c>
      <c r="AK19" s="156"/>
      <c r="AL19" s="161"/>
      <c r="AM19" s="155" t="s">
        <v>15</v>
      </c>
      <c r="AN19" s="156"/>
      <c r="AO19" s="157"/>
      <c r="AP19" s="155" t="s">
        <v>16</v>
      </c>
      <c r="AQ19" s="156"/>
      <c r="AR19" s="157"/>
      <c r="AS19" s="171" t="s">
        <v>28</v>
      </c>
      <c r="AT19" s="166" t="s">
        <v>51</v>
      </c>
    </row>
    <row r="20" spans="1:46" ht="15.75" thickBot="1" x14ac:dyDescent="0.3">
      <c r="A20" s="79"/>
      <c r="B20" s="153"/>
      <c r="C20" s="169" t="s">
        <v>2</v>
      </c>
      <c r="D20" s="170" t="s">
        <v>3</v>
      </c>
      <c r="E20" s="158"/>
      <c r="F20" s="162"/>
      <c r="G20" s="163"/>
      <c r="H20" s="164"/>
      <c r="I20" s="165"/>
      <c r="J20" s="163"/>
      <c r="K20" s="159"/>
      <c r="L20" s="162"/>
      <c r="M20" s="163"/>
      <c r="N20" s="164"/>
      <c r="O20" s="165"/>
      <c r="P20" s="163"/>
      <c r="Q20" s="159"/>
      <c r="R20" s="162"/>
      <c r="S20" s="163"/>
      <c r="T20" s="164"/>
      <c r="U20" s="165"/>
      <c r="V20" s="163"/>
      <c r="W20" s="159"/>
      <c r="X20" s="162"/>
      <c r="Y20" s="163"/>
      <c r="Z20" s="164"/>
      <c r="AA20" s="165"/>
      <c r="AB20" s="163"/>
      <c r="AC20" s="159"/>
      <c r="AD20" s="162"/>
      <c r="AE20" s="163"/>
      <c r="AF20" s="164"/>
      <c r="AG20" s="165"/>
      <c r="AH20" s="163"/>
      <c r="AI20" s="159"/>
      <c r="AJ20" s="162"/>
      <c r="AK20" s="163"/>
      <c r="AL20" s="164"/>
      <c r="AM20" s="165"/>
      <c r="AN20" s="163"/>
      <c r="AO20" s="159"/>
      <c r="AP20" s="165"/>
      <c r="AQ20" s="163"/>
      <c r="AR20" s="159"/>
      <c r="AS20" s="172"/>
      <c r="AT20" s="167"/>
    </row>
    <row r="21" spans="1:46" ht="15.75" thickBot="1" x14ac:dyDescent="0.3">
      <c r="A21" s="79"/>
      <c r="B21" s="154"/>
      <c r="C21" s="165"/>
      <c r="D21" s="163"/>
      <c r="E21" s="159"/>
      <c r="F21" s="23" t="s">
        <v>16</v>
      </c>
      <c r="G21" s="24" t="s">
        <v>29</v>
      </c>
      <c r="H21" s="25" t="s">
        <v>3</v>
      </c>
      <c r="I21" s="26" t="s">
        <v>16</v>
      </c>
      <c r="J21" s="24" t="s">
        <v>29</v>
      </c>
      <c r="K21" s="27" t="s">
        <v>3</v>
      </c>
      <c r="L21" s="23" t="s">
        <v>16</v>
      </c>
      <c r="M21" s="24" t="s">
        <v>29</v>
      </c>
      <c r="N21" s="25" t="s">
        <v>3</v>
      </c>
      <c r="O21" s="26" t="s">
        <v>16</v>
      </c>
      <c r="P21" s="24" t="s">
        <v>29</v>
      </c>
      <c r="Q21" s="27" t="s">
        <v>3</v>
      </c>
      <c r="R21" s="23" t="s">
        <v>16</v>
      </c>
      <c r="S21" s="24" t="s">
        <v>29</v>
      </c>
      <c r="T21" s="25" t="s">
        <v>3</v>
      </c>
      <c r="U21" s="26" t="s">
        <v>16</v>
      </c>
      <c r="V21" s="24" t="s">
        <v>29</v>
      </c>
      <c r="W21" s="27" t="s">
        <v>3</v>
      </c>
      <c r="X21" s="23" t="s">
        <v>16</v>
      </c>
      <c r="Y21" s="24" t="s">
        <v>29</v>
      </c>
      <c r="Z21" s="25" t="s">
        <v>3</v>
      </c>
      <c r="AA21" s="26" t="s">
        <v>16</v>
      </c>
      <c r="AB21" s="24" t="s">
        <v>29</v>
      </c>
      <c r="AC21" s="27" t="s">
        <v>3</v>
      </c>
      <c r="AD21" s="23" t="s">
        <v>16</v>
      </c>
      <c r="AE21" s="24" t="s">
        <v>29</v>
      </c>
      <c r="AF21" s="25" t="s">
        <v>3</v>
      </c>
      <c r="AG21" s="26" t="s">
        <v>16</v>
      </c>
      <c r="AH21" s="24" t="s">
        <v>29</v>
      </c>
      <c r="AI21" s="27" t="s">
        <v>3</v>
      </c>
      <c r="AJ21" s="23" t="s">
        <v>16</v>
      </c>
      <c r="AK21" s="24" t="s">
        <v>29</v>
      </c>
      <c r="AL21" s="25" t="s">
        <v>3</v>
      </c>
      <c r="AM21" s="26" t="s">
        <v>16</v>
      </c>
      <c r="AN21" s="24" t="s">
        <v>29</v>
      </c>
      <c r="AO21" s="27" t="s">
        <v>3</v>
      </c>
      <c r="AP21" s="26" t="s">
        <v>16</v>
      </c>
      <c r="AQ21" s="24" t="s">
        <v>29</v>
      </c>
      <c r="AR21" s="27" t="s">
        <v>3</v>
      </c>
      <c r="AS21" s="173"/>
      <c r="AT21" s="168"/>
    </row>
    <row r="22" spans="1:46" x14ac:dyDescent="0.25">
      <c r="A22" s="79"/>
      <c r="B22" s="81" t="s">
        <v>30</v>
      </c>
      <c r="C22" s="82">
        <f>D22</f>
        <v>24</v>
      </c>
      <c r="D22" s="83">
        <v>24</v>
      </c>
      <c r="E22" s="84">
        <v>1343.1</v>
      </c>
      <c r="F22" s="41">
        <v>20.77</v>
      </c>
      <c r="G22" s="85">
        <f>C58*0.06</f>
        <v>3.1901999999999999</v>
      </c>
      <c r="H22" s="86">
        <f>F22-G22</f>
        <v>17.579799999999999</v>
      </c>
      <c r="I22" s="87">
        <v>17.71</v>
      </c>
      <c r="J22" s="85">
        <f>D58*0.06</f>
        <v>2.9555999999999996</v>
      </c>
      <c r="K22" s="88">
        <f>I22-J22</f>
        <v>14.7544</v>
      </c>
      <c r="L22" s="41">
        <v>13.099999999999909</v>
      </c>
      <c r="M22" s="85">
        <f>E58*0.06</f>
        <v>2.8626000000000023</v>
      </c>
      <c r="N22" s="86">
        <f>L22-M22</f>
        <v>10.237399999999907</v>
      </c>
      <c r="O22" s="87">
        <v>10.039999999999999</v>
      </c>
      <c r="P22" s="85">
        <f>F58*0.06</f>
        <v>2.7635999999999998</v>
      </c>
      <c r="Q22" s="88">
        <f>O22-P22</f>
        <v>7.2763999999999989</v>
      </c>
      <c r="R22" s="41">
        <v>5.7400000000000091</v>
      </c>
      <c r="S22" s="85">
        <f>G58*0.06</f>
        <v>2.5608</v>
      </c>
      <c r="T22" s="86">
        <f>R22-S22</f>
        <v>3.1792000000000091</v>
      </c>
      <c r="U22" s="87">
        <v>5.0199999999999818</v>
      </c>
      <c r="V22" s="85">
        <f>H58*0.06</f>
        <v>2.2535999999999965</v>
      </c>
      <c r="W22" s="88">
        <f>U22-V22</f>
        <v>2.7663999999999853</v>
      </c>
      <c r="X22" s="41">
        <v>4.9799999999999089</v>
      </c>
      <c r="Y22" s="85">
        <f>I58*0.06</f>
        <v>2.3028</v>
      </c>
      <c r="Z22" s="86">
        <f>X22-Y22</f>
        <v>2.677199999999909</v>
      </c>
      <c r="AA22" s="87">
        <v>5.13</v>
      </c>
      <c r="AB22" s="85">
        <f>J58*0.06</f>
        <v>2.2517999999999998</v>
      </c>
      <c r="AC22" s="88">
        <f>AA22-AB22</f>
        <v>2.8782000000000001</v>
      </c>
      <c r="AD22" s="41">
        <v>5.12</v>
      </c>
      <c r="AE22" s="85">
        <f>K58*0.06</f>
        <v>2.2320000000000002</v>
      </c>
      <c r="AF22" s="86">
        <f>AD22-AE22</f>
        <v>2.8879999999999999</v>
      </c>
      <c r="AG22" s="87">
        <v>10.11</v>
      </c>
      <c r="AH22" s="85">
        <f>L58*0.06</f>
        <v>2.5020000000000002</v>
      </c>
      <c r="AI22" s="88">
        <f>AG22-AH22</f>
        <v>7.6079999999999988</v>
      </c>
      <c r="AJ22" s="41">
        <v>14.48</v>
      </c>
      <c r="AK22" s="85">
        <f>M58*0.06</f>
        <v>2.7210000000000001</v>
      </c>
      <c r="AL22" s="86">
        <f>AJ22-AK22</f>
        <v>11.759</v>
      </c>
      <c r="AM22" s="87">
        <v>15.029999999999973</v>
      </c>
      <c r="AN22" s="85">
        <f>N58*0.06</f>
        <v>2.5289999999999919</v>
      </c>
      <c r="AO22" s="88">
        <f>AM22-AN22</f>
        <v>12.50099999999998</v>
      </c>
      <c r="AP22" s="44">
        <f t="shared" si="23"/>
        <v>127.22999999999979</v>
      </c>
      <c r="AQ22" s="45">
        <f t="shared" si="24"/>
        <v>31.124999999999989</v>
      </c>
      <c r="AR22" s="46">
        <f t="shared" si="25"/>
        <v>96.104999999999805</v>
      </c>
      <c r="AS22" s="89">
        <f t="shared" si="26"/>
        <v>71.554612463703236</v>
      </c>
      <c r="AT22" s="90">
        <f t="shared" si="27"/>
        <v>94.728612910430954</v>
      </c>
    </row>
    <row r="23" spans="1:46" x14ac:dyDescent="0.25">
      <c r="A23" s="79"/>
      <c r="B23" s="49" t="s">
        <v>31</v>
      </c>
      <c r="C23" s="91">
        <f t="shared" ref="C23:C34" si="28">D23</f>
        <v>18</v>
      </c>
      <c r="D23" s="51">
        <v>18</v>
      </c>
      <c r="E23" s="92">
        <v>1083.3</v>
      </c>
      <c r="F23" s="56">
        <v>16.28</v>
      </c>
      <c r="G23" s="93">
        <f t="shared" ref="G23:G39" si="29">C59*0.06</f>
        <v>2.7545999999999995</v>
      </c>
      <c r="H23" s="94">
        <f t="shared" ref="H23:H39" si="30">F23-G23</f>
        <v>13.525400000000001</v>
      </c>
      <c r="I23" s="53">
        <v>15.31</v>
      </c>
      <c r="J23" s="93">
        <f t="shared" ref="J23:J39" si="31">D59*0.06</f>
        <v>2.6921999999999997</v>
      </c>
      <c r="K23" s="95">
        <f t="shared" ref="K23:K39" si="32">I23-J23</f>
        <v>12.617800000000001</v>
      </c>
      <c r="L23" s="56">
        <v>11.179999999999836</v>
      </c>
      <c r="M23" s="93">
        <f t="shared" ref="M23:M39" si="33">E59*0.06</f>
        <v>2.5158000000000005</v>
      </c>
      <c r="N23" s="94">
        <f t="shared" ref="N23:N39" si="34">L23-M23</f>
        <v>8.6641999999998358</v>
      </c>
      <c r="O23" s="53">
        <v>10.090000000000146</v>
      </c>
      <c r="P23" s="93">
        <f t="shared" ref="P23:P39" si="35">F59*0.06</f>
        <v>2.8613999999999997</v>
      </c>
      <c r="Q23" s="95">
        <f t="shared" ref="Q23:Q39" si="36">O23-P23</f>
        <v>7.2286000000001458</v>
      </c>
      <c r="R23" s="56">
        <v>4.0099999999999909</v>
      </c>
      <c r="S23" s="93">
        <f t="shared" ref="S23:S39" si="37">G59*0.06</f>
        <v>2.6597999999999997</v>
      </c>
      <c r="T23" s="94">
        <f t="shared" ref="T23:T39" si="38">R23-S23</f>
        <v>1.3501999999999912</v>
      </c>
      <c r="U23" s="53">
        <v>3.3199999999999363</v>
      </c>
      <c r="V23" s="93">
        <f t="shared" ref="V23:V39" si="39">H59*0.06</f>
        <v>2.9069999999999991</v>
      </c>
      <c r="W23" s="95">
        <f t="shared" ref="W23:W39" si="40">U23-V23</f>
        <v>0.4129999999999372</v>
      </c>
      <c r="X23" s="56">
        <v>2.8399999999999181</v>
      </c>
      <c r="Y23" s="93">
        <f t="shared" ref="Y23:Y39" si="41">I59*0.06</f>
        <v>2.5176000000000021</v>
      </c>
      <c r="Z23" s="94">
        <f t="shared" ref="Z23:Z39" si="42">X23-Y23</f>
        <v>0.32239999999991609</v>
      </c>
      <c r="AA23" s="53">
        <v>2.98</v>
      </c>
      <c r="AB23" s="93">
        <f t="shared" ref="AB23:AB39" si="43">J59*0.06</f>
        <v>2.4851999999999999</v>
      </c>
      <c r="AC23" s="95">
        <f t="shared" ref="AC23:AC39" si="44">AA23-AB23</f>
        <v>0.49480000000000013</v>
      </c>
      <c r="AD23" s="56">
        <v>3.21</v>
      </c>
      <c r="AE23" s="93">
        <f t="shared" ref="AE23:AE39" si="45">K59*0.06</f>
        <v>2.8055999999999996</v>
      </c>
      <c r="AF23" s="94">
        <f t="shared" ref="AF23:AF39" si="46">AD23-AE23</f>
        <v>0.40440000000000031</v>
      </c>
      <c r="AG23" s="53">
        <v>8.84</v>
      </c>
      <c r="AH23" s="93">
        <f t="shared" ref="AH23:AH39" si="47">L59*0.06</f>
        <v>2.7629999999999999</v>
      </c>
      <c r="AI23" s="95">
        <f t="shared" ref="AI23:AI39" si="48">AG23-AH23</f>
        <v>6.077</v>
      </c>
      <c r="AJ23" s="56">
        <v>12.099999999999909</v>
      </c>
      <c r="AK23" s="93">
        <f t="shared" ref="AK23:AK39" si="49">M59*0.06</f>
        <v>2.6832000000000016</v>
      </c>
      <c r="AL23" s="94">
        <f t="shared" ref="AL23:AL39" si="50">AJ23-AK23</f>
        <v>9.4167999999999079</v>
      </c>
      <c r="AM23" s="53">
        <v>14.400000000000091</v>
      </c>
      <c r="AN23" s="93">
        <f t="shared" ref="AN23:AN39" si="51">N59*0.06</f>
        <v>2.8788000000000009</v>
      </c>
      <c r="AO23" s="95">
        <f t="shared" ref="AO23:AO39" si="52">AM23-AN23</f>
        <v>11.521200000000089</v>
      </c>
      <c r="AP23" s="96">
        <f t="shared" si="23"/>
        <v>104.55999999999983</v>
      </c>
      <c r="AQ23" s="59">
        <f t="shared" si="24"/>
        <v>32.5242</v>
      </c>
      <c r="AR23" s="60">
        <f t="shared" si="25"/>
        <v>72.035799999999824</v>
      </c>
      <c r="AS23" s="97">
        <f t="shared" si="26"/>
        <v>66.496630665558783</v>
      </c>
      <c r="AT23" s="98">
        <f t="shared" si="27"/>
        <v>96.519892919781995</v>
      </c>
    </row>
    <row r="24" spans="1:46" x14ac:dyDescent="0.25">
      <c r="A24" s="79"/>
      <c r="B24" s="49" t="s">
        <v>32</v>
      </c>
      <c r="C24" s="91">
        <f t="shared" si="28"/>
        <v>24</v>
      </c>
      <c r="D24" s="51">
        <v>24</v>
      </c>
      <c r="E24" s="92">
        <v>1313.9</v>
      </c>
      <c r="F24" s="56">
        <v>19</v>
      </c>
      <c r="G24" s="93">
        <f t="shared" si="29"/>
        <v>3.1139999999999999</v>
      </c>
      <c r="H24" s="94">
        <f t="shared" si="30"/>
        <v>15.885999999999999</v>
      </c>
      <c r="I24" s="99">
        <v>16.07</v>
      </c>
      <c r="J24" s="93">
        <f t="shared" si="31"/>
        <v>2.7779999999999996</v>
      </c>
      <c r="K24" s="95">
        <f t="shared" si="32"/>
        <v>13.292000000000002</v>
      </c>
      <c r="L24" s="100">
        <v>12.089999999999918</v>
      </c>
      <c r="M24" s="93">
        <f t="shared" si="33"/>
        <v>3.0635999999999965</v>
      </c>
      <c r="N24" s="94">
        <f t="shared" si="34"/>
        <v>9.0263999999999207</v>
      </c>
      <c r="O24" s="53">
        <v>10.02</v>
      </c>
      <c r="P24" s="93">
        <f t="shared" si="35"/>
        <v>2.8973999999999998</v>
      </c>
      <c r="Q24" s="95">
        <f t="shared" si="36"/>
        <v>7.1226000000000003</v>
      </c>
      <c r="R24" s="56">
        <v>6.2199999999997999</v>
      </c>
      <c r="S24" s="93">
        <f t="shared" si="37"/>
        <v>2.5512000000000001</v>
      </c>
      <c r="T24" s="94">
        <f t="shared" si="38"/>
        <v>3.6687999999997998</v>
      </c>
      <c r="U24" s="53">
        <v>5.9600000000000364</v>
      </c>
      <c r="V24" s="93">
        <f t="shared" si="39"/>
        <v>3.3191999999999999</v>
      </c>
      <c r="W24" s="95">
        <f t="shared" si="40"/>
        <v>2.6408000000000365</v>
      </c>
      <c r="X24" s="56">
        <v>5.3499999999999268</v>
      </c>
      <c r="Y24" s="93">
        <f t="shared" si="41"/>
        <v>2.9904000000000002</v>
      </c>
      <c r="Z24" s="94">
        <f t="shared" si="42"/>
        <v>2.3595999999999266</v>
      </c>
      <c r="AA24" s="53">
        <v>5.22</v>
      </c>
      <c r="AB24" s="93">
        <f t="shared" si="43"/>
        <v>2.8104</v>
      </c>
      <c r="AC24" s="95">
        <f t="shared" si="44"/>
        <v>2.4095999999999997</v>
      </c>
      <c r="AD24" s="56">
        <v>5.31</v>
      </c>
      <c r="AE24" s="93">
        <f t="shared" si="45"/>
        <v>3.1698</v>
      </c>
      <c r="AF24" s="94">
        <f t="shared" si="46"/>
        <v>2.1401999999999997</v>
      </c>
      <c r="AG24" s="53">
        <v>7.7</v>
      </c>
      <c r="AH24" s="93">
        <f t="shared" si="47"/>
        <v>3.4331999999999998</v>
      </c>
      <c r="AI24" s="95">
        <f t="shared" si="48"/>
        <v>4.2667999999999999</v>
      </c>
      <c r="AJ24" s="56">
        <v>11.75</v>
      </c>
      <c r="AK24" s="93">
        <f t="shared" si="49"/>
        <v>3.4097999999999988</v>
      </c>
      <c r="AL24" s="94">
        <f t="shared" si="50"/>
        <v>8.3402000000000012</v>
      </c>
      <c r="AM24" s="53">
        <v>13.110000000000127</v>
      </c>
      <c r="AN24" s="93">
        <f t="shared" si="51"/>
        <v>3.1818000000000017</v>
      </c>
      <c r="AO24" s="95">
        <f t="shared" si="52"/>
        <v>9.9282000000001247</v>
      </c>
      <c r="AP24" s="96">
        <f t="shared" si="23"/>
        <v>117.79999999999981</v>
      </c>
      <c r="AQ24" s="59">
        <f t="shared" si="24"/>
        <v>36.718799999999995</v>
      </c>
      <c r="AR24" s="60">
        <f t="shared" si="25"/>
        <v>81.081199999999825</v>
      </c>
      <c r="AS24" s="97">
        <f t="shared" si="26"/>
        <v>61.710328031052455</v>
      </c>
      <c r="AT24" s="98">
        <f t="shared" si="27"/>
        <v>89.656747088819401</v>
      </c>
    </row>
    <row r="25" spans="1:46" x14ac:dyDescent="0.25">
      <c r="A25" s="79"/>
      <c r="B25" s="49" t="s">
        <v>33</v>
      </c>
      <c r="C25" s="91">
        <f t="shared" si="28"/>
        <v>18</v>
      </c>
      <c r="D25" s="51">
        <v>18</v>
      </c>
      <c r="E25" s="92">
        <v>1088.8</v>
      </c>
      <c r="F25" s="56">
        <v>14.86</v>
      </c>
      <c r="G25" s="93">
        <f t="shared" si="29"/>
        <v>1.6572</v>
      </c>
      <c r="H25" s="94">
        <f t="shared" si="30"/>
        <v>13.2028</v>
      </c>
      <c r="I25" s="53">
        <v>13.54</v>
      </c>
      <c r="J25" s="93">
        <f t="shared" si="31"/>
        <v>1.5005999999999999</v>
      </c>
      <c r="K25" s="95">
        <f t="shared" si="32"/>
        <v>12.039399999999999</v>
      </c>
      <c r="L25" s="56">
        <v>8.6999999999998181</v>
      </c>
      <c r="M25" s="93">
        <f t="shared" si="33"/>
        <v>1.3019999999999996</v>
      </c>
      <c r="N25" s="94">
        <f t="shared" si="34"/>
        <v>7.3979999999998185</v>
      </c>
      <c r="O25" s="53">
        <v>7.71</v>
      </c>
      <c r="P25" s="93">
        <f t="shared" si="35"/>
        <v>1.5623999999999998</v>
      </c>
      <c r="Q25" s="95">
        <f t="shared" si="36"/>
        <v>6.1476000000000006</v>
      </c>
      <c r="R25" s="56">
        <v>2.1300000000001091</v>
      </c>
      <c r="S25" s="93">
        <f t="shared" si="37"/>
        <v>1.446</v>
      </c>
      <c r="T25" s="94">
        <f t="shared" si="38"/>
        <v>0.68400000000010919</v>
      </c>
      <c r="U25" s="53">
        <v>2.2200000000000273</v>
      </c>
      <c r="V25" s="93">
        <f t="shared" si="39"/>
        <v>1.539599999999999</v>
      </c>
      <c r="W25" s="95">
        <f t="shared" si="40"/>
        <v>0.68040000000002832</v>
      </c>
      <c r="X25" s="56">
        <v>2.0299999999999727</v>
      </c>
      <c r="Y25" s="93">
        <f t="shared" si="41"/>
        <v>1.4694000000000005</v>
      </c>
      <c r="Z25" s="94">
        <f t="shared" si="42"/>
        <v>0.56059999999997223</v>
      </c>
      <c r="AA25" s="53">
        <v>2.2000000000000002</v>
      </c>
      <c r="AB25" s="93">
        <f t="shared" si="43"/>
        <v>1.5653999999999999</v>
      </c>
      <c r="AC25" s="95">
        <f t="shared" si="44"/>
        <v>0.63460000000000027</v>
      </c>
      <c r="AD25" s="56">
        <v>2.37</v>
      </c>
      <c r="AE25" s="93">
        <f t="shared" si="45"/>
        <v>1.7105999999999995</v>
      </c>
      <c r="AF25" s="94">
        <f t="shared" si="46"/>
        <v>0.65940000000000065</v>
      </c>
      <c r="AG25" s="53">
        <v>5.57</v>
      </c>
      <c r="AH25" s="93">
        <f t="shared" si="47"/>
        <v>1.704</v>
      </c>
      <c r="AI25" s="95">
        <f t="shared" si="48"/>
        <v>3.8660000000000005</v>
      </c>
      <c r="AJ25" s="56">
        <v>9.2599999999999909</v>
      </c>
      <c r="AK25" s="93">
        <f t="shared" si="49"/>
        <v>1.6673999999999995</v>
      </c>
      <c r="AL25" s="94">
        <f t="shared" si="50"/>
        <v>7.5925999999999911</v>
      </c>
      <c r="AM25" s="53">
        <v>11.660000000000082</v>
      </c>
      <c r="AN25" s="93">
        <f t="shared" si="51"/>
        <v>1.65</v>
      </c>
      <c r="AO25" s="95">
        <f t="shared" si="52"/>
        <v>10.010000000000081</v>
      </c>
      <c r="AP25" s="96">
        <f t="shared" si="23"/>
        <v>82.25</v>
      </c>
      <c r="AQ25" s="59">
        <f t="shared" si="24"/>
        <v>18.774599999999996</v>
      </c>
      <c r="AR25" s="60">
        <f t="shared" si="25"/>
        <v>63.475400000000008</v>
      </c>
      <c r="AS25" s="97">
        <f t="shared" si="26"/>
        <v>58.298493754592222</v>
      </c>
      <c r="AT25" s="98">
        <f t="shared" si="27"/>
        <v>75.541880969875095</v>
      </c>
    </row>
    <row r="26" spans="1:46" x14ac:dyDescent="0.25">
      <c r="A26" s="79"/>
      <c r="B26" s="49" t="s">
        <v>34</v>
      </c>
      <c r="C26" s="91">
        <f t="shared" si="28"/>
        <v>12</v>
      </c>
      <c r="D26" s="51">
        <v>12</v>
      </c>
      <c r="E26" s="92">
        <v>723.6</v>
      </c>
      <c r="F26" s="56">
        <v>12.16</v>
      </c>
      <c r="G26" s="93">
        <f t="shared" si="29"/>
        <v>2.0645999999999995</v>
      </c>
      <c r="H26" s="94">
        <f t="shared" si="30"/>
        <v>10.095400000000001</v>
      </c>
      <c r="I26" s="53">
        <v>11.15</v>
      </c>
      <c r="J26" s="93">
        <f t="shared" si="31"/>
        <v>2.0112000000000001</v>
      </c>
      <c r="K26" s="95">
        <f t="shared" si="32"/>
        <v>9.1387999999999998</v>
      </c>
      <c r="L26" s="56">
        <v>7.8400000000000318</v>
      </c>
      <c r="M26" s="93">
        <f t="shared" si="33"/>
        <v>1.9266000000000076</v>
      </c>
      <c r="N26" s="94">
        <f t="shared" si="34"/>
        <v>5.9134000000000242</v>
      </c>
      <c r="O26" s="53">
        <v>6.7299999999999045</v>
      </c>
      <c r="P26" s="93">
        <f t="shared" si="35"/>
        <v>2.2427999999999928</v>
      </c>
      <c r="Q26" s="95">
        <f t="shared" si="36"/>
        <v>4.4871999999999117</v>
      </c>
      <c r="R26" s="56">
        <v>3.5</v>
      </c>
      <c r="S26" s="93">
        <f t="shared" si="37"/>
        <v>2.1486000000000001</v>
      </c>
      <c r="T26" s="94">
        <f t="shared" si="38"/>
        <v>1.3513999999999999</v>
      </c>
      <c r="U26" s="53">
        <v>2.7300000000000182</v>
      </c>
      <c r="V26" s="93">
        <f t="shared" si="39"/>
        <v>2.3580000000000108</v>
      </c>
      <c r="W26" s="95">
        <f t="shared" si="40"/>
        <v>0.37200000000000744</v>
      </c>
      <c r="X26" s="56">
        <v>2.2799999999999727</v>
      </c>
      <c r="Y26" s="93">
        <f t="shared" si="41"/>
        <v>1.9775999999999885</v>
      </c>
      <c r="Z26" s="94">
        <f t="shared" si="42"/>
        <v>0.30239999999998424</v>
      </c>
      <c r="AA26" s="53">
        <v>2.4300000000000002</v>
      </c>
      <c r="AB26" s="93">
        <f t="shared" si="43"/>
        <v>2.1713999999999998</v>
      </c>
      <c r="AC26" s="95">
        <f t="shared" si="44"/>
        <v>0.25860000000000039</v>
      </c>
      <c r="AD26" s="56">
        <v>2.56</v>
      </c>
      <c r="AE26" s="93">
        <f t="shared" si="45"/>
        <v>2.5337999999999998</v>
      </c>
      <c r="AF26" s="94">
        <f t="shared" si="46"/>
        <v>2.6200000000000223E-2</v>
      </c>
      <c r="AG26" s="53">
        <v>6.03</v>
      </c>
      <c r="AH26" s="93">
        <f t="shared" si="47"/>
        <v>2.6231999999999998</v>
      </c>
      <c r="AI26" s="95">
        <f t="shared" si="48"/>
        <v>3.4068000000000005</v>
      </c>
      <c r="AJ26" s="56">
        <v>8.3599999999999</v>
      </c>
      <c r="AK26" s="93">
        <f t="shared" si="49"/>
        <v>2.4282000000000017</v>
      </c>
      <c r="AL26" s="94">
        <f t="shared" si="50"/>
        <v>5.9317999999998978</v>
      </c>
      <c r="AM26" s="53">
        <v>9.9400000000000546</v>
      </c>
      <c r="AN26" s="93">
        <f t="shared" si="51"/>
        <v>2.6621999999999932</v>
      </c>
      <c r="AO26" s="95">
        <f t="shared" si="52"/>
        <v>7.2778000000000613</v>
      </c>
      <c r="AP26" s="96">
        <f t="shared" si="23"/>
        <v>75.709999999999894</v>
      </c>
      <c r="AQ26" s="59">
        <f t="shared" si="24"/>
        <v>27.148199999999996</v>
      </c>
      <c r="AR26" s="60">
        <f t="shared" si="25"/>
        <v>48.561799999999899</v>
      </c>
      <c r="AS26" s="97">
        <f t="shared" si="26"/>
        <v>67.11138750690975</v>
      </c>
      <c r="AT26" s="98">
        <f t="shared" si="27"/>
        <v>104.62962962962949</v>
      </c>
    </row>
    <row r="27" spans="1:46" x14ac:dyDescent="0.25">
      <c r="A27" s="79"/>
      <c r="B27" s="49" t="s">
        <v>35</v>
      </c>
      <c r="C27" s="91">
        <f t="shared" si="28"/>
        <v>32</v>
      </c>
      <c r="D27" s="51">
        <v>32</v>
      </c>
      <c r="E27" s="92">
        <v>1670.8</v>
      </c>
      <c r="F27" s="56">
        <v>25.3</v>
      </c>
      <c r="G27" s="93">
        <f t="shared" si="29"/>
        <v>4.0140000000000002</v>
      </c>
      <c r="H27" s="94">
        <f t="shared" si="30"/>
        <v>21.286000000000001</v>
      </c>
      <c r="I27" s="53">
        <v>21.93</v>
      </c>
      <c r="J27" s="93">
        <f t="shared" si="31"/>
        <v>3.8615999999999997</v>
      </c>
      <c r="K27" s="95">
        <f t="shared" si="32"/>
        <v>18.0684</v>
      </c>
      <c r="L27" s="56">
        <v>17.039999999999964</v>
      </c>
      <c r="M27" s="93">
        <f t="shared" si="33"/>
        <v>4.1952000000000007</v>
      </c>
      <c r="N27" s="94">
        <f t="shared" si="34"/>
        <v>12.844799999999964</v>
      </c>
      <c r="O27" s="53">
        <v>13.18</v>
      </c>
      <c r="P27" s="93">
        <f t="shared" si="35"/>
        <v>3.9947999999999997</v>
      </c>
      <c r="Q27" s="95">
        <f t="shared" si="36"/>
        <v>9.1852</v>
      </c>
      <c r="R27" s="56">
        <v>6.4100000000003092</v>
      </c>
      <c r="S27" s="93">
        <f t="shared" si="37"/>
        <v>3.6120000000000001</v>
      </c>
      <c r="T27" s="94">
        <f t="shared" si="38"/>
        <v>2.7980000000003091</v>
      </c>
      <c r="U27" s="53">
        <v>6.5499999999997272</v>
      </c>
      <c r="V27" s="93">
        <f t="shared" si="39"/>
        <v>3.9107999999999969</v>
      </c>
      <c r="W27" s="95">
        <f t="shared" si="40"/>
        <v>2.6391999999997302</v>
      </c>
      <c r="X27" s="56">
        <v>5.5800000000001457</v>
      </c>
      <c r="Y27" s="93">
        <f t="shared" si="41"/>
        <v>3.2195999999999998</v>
      </c>
      <c r="Z27" s="94">
        <f t="shared" si="42"/>
        <v>2.3604000000001459</v>
      </c>
      <c r="AA27" s="53">
        <v>5.95</v>
      </c>
      <c r="AB27" s="93">
        <f t="shared" si="43"/>
        <v>3.4139999999999997</v>
      </c>
      <c r="AC27" s="95">
        <f t="shared" si="44"/>
        <v>2.5360000000000005</v>
      </c>
      <c r="AD27" s="56">
        <v>5.88</v>
      </c>
      <c r="AE27" s="93">
        <f t="shared" si="45"/>
        <v>3.375</v>
      </c>
      <c r="AF27" s="94">
        <f t="shared" si="46"/>
        <v>2.5049999999999999</v>
      </c>
      <c r="AG27" s="53">
        <v>12.1</v>
      </c>
      <c r="AH27" s="93">
        <f t="shared" si="47"/>
        <v>3.6863999999999999</v>
      </c>
      <c r="AI27" s="95">
        <f t="shared" si="48"/>
        <v>8.4135999999999989</v>
      </c>
      <c r="AJ27" s="56">
        <v>16.949999999999818</v>
      </c>
      <c r="AK27" s="93">
        <f t="shared" si="49"/>
        <v>3.9851999999999972</v>
      </c>
      <c r="AL27" s="94">
        <f t="shared" si="50"/>
        <v>12.964799999999821</v>
      </c>
      <c r="AM27" s="53">
        <v>19.680000000000291</v>
      </c>
      <c r="AN27" s="93">
        <f t="shared" si="51"/>
        <v>3.8105999999999991</v>
      </c>
      <c r="AO27" s="95">
        <f t="shared" si="52"/>
        <v>15.869400000000292</v>
      </c>
      <c r="AP27" s="96">
        <f t="shared" si="23"/>
        <v>156.55000000000024</v>
      </c>
      <c r="AQ27" s="59">
        <f t="shared" si="24"/>
        <v>45.0792</v>
      </c>
      <c r="AR27" s="60">
        <f t="shared" si="25"/>
        <v>111.47080000000024</v>
      </c>
      <c r="AS27" s="97">
        <f t="shared" si="26"/>
        <v>66.717021785970928</v>
      </c>
      <c r="AT27" s="98">
        <f t="shared" si="27"/>
        <v>93.697629877902941</v>
      </c>
    </row>
    <row r="28" spans="1:46" x14ac:dyDescent="0.25">
      <c r="A28" s="79"/>
      <c r="B28" s="49" t="s">
        <v>36</v>
      </c>
      <c r="C28" s="91">
        <f t="shared" si="28"/>
        <v>18</v>
      </c>
      <c r="D28" s="51">
        <v>18</v>
      </c>
      <c r="E28" s="92">
        <v>941.2</v>
      </c>
      <c r="F28" s="56">
        <v>12.09</v>
      </c>
      <c r="G28" s="93">
        <f t="shared" si="29"/>
        <v>2.3226</v>
      </c>
      <c r="H28" s="94">
        <f t="shared" si="30"/>
        <v>9.7674000000000003</v>
      </c>
      <c r="I28" s="53">
        <v>11.46</v>
      </c>
      <c r="J28" s="93">
        <f t="shared" si="31"/>
        <v>2.3736000000000002</v>
      </c>
      <c r="K28" s="95">
        <f t="shared" si="32"/>
        <v>9.0864000000000011</v>
      </c>
      <c r="L28" s="56">
        <v>8.0299999999999727</v>
      </c>
      <c r="M28" s="93">
        <f t="shared" si="33"/>
        <v>2.13</v>
      </c>
      <c r="N28" s="94">
        <f t="shared" si="34"/>
        <v>5.8999999999999728</v>
      </c>
      <c r="O28" s="53">
        <v>7.4200000000000728</v>
      </c>
      <c r="P28" s="93">
        <f t="shared" si="35"/>
        <v>2.5824000000000522</v>
      </c>
      <c r="Q28" s="95">
        <f t="shared" si="36"/>
        <v>4.8376000000000206</v>
      </c>
      <c r="R28" s="56">
        <v>3.3999999999999773</v>
      </c>
      <c r="S28" s="93">
        <f t="shared" si="37"/>
        <v>1.8371999999999999</v>
      </c>
      <c r="T28" s="94">
        <f t="shared" si="38"/>
        <v>1.5627999999999773</v>
      </c>
      <c r="U28" s="53">
        <v>3</v>
      </c>
      <c r="V28" s="93">
        <f t="shared" si="39"/>
        <v>2.31</v>
      </c>
      <c r="W28" s="95">
        <f t="shared" si="40"/>
        <v>0.69</v>
      </c>
      <c r="X28" s="56">
        <v>2.4799999999999045</v>
      </c>
      <c r="Y28" s="93">
        <f t="shared" si="41"/>
        <v>1.8168</v>
      </c>
      <c r="Z28" s="94">
        <f t="shared" si="42"/>
        <v>0.66319999999990453</v>
      </c>
      <c r="AA28" s="53">
        <v>2.98</v>
      </c>
      <c r="AB28" s="93">
        <f t="shared" si="43"/>
        <v>2.1162000000000001</v>
      </c>
      <c r="AC28" s="95">
        <f t="shared" si="44"/>
        <v>0.8637999999999999</v>
      </c>
      <c r="AD28" s="56">
        <v>2.71</v>
      </c>
      <c r="AE28" s="93">
        <f t="shared" si="45"/>
        <v>2.0213999999999999</v>
      </c>
      <c r="AF28" s="94">
        <f t="shared" si="46"/>
        <v>0.6886000000000001</v>
      </c>
      <c r="AG28" s="53">
        <v>6.4</v>
      </c>
      <c r="AH28" s="93">
        <f t="shared" si="47"/>
        <v>2.3148</v>
      </c>
      <c r="AI28" s="95">
        <f t="shared" si="48"/>
        <v>4.0852000000000004</v>
      </c>
      <c r="AJ28" s="56">
        <v>9.8999999999999773</v>
      </c>
      <c r="AK28" s="93">
        <f t="shared" si="49"/>
        <v>2.7209999999999996</v>
      </c>
      <c r="AL28" s="94">
        <f t="shared" si="50"/>
        <v>7.1789999999999772</v>
      </c>
      <c r="AM28" s="53">
        <v>8.9300000000000637</v>
      </c>
      <c r="AN28" s="93">
        <f t="shared" si="51"/>
        <v>2.1408000000000005</v>
      </c>
      <c r="AO28" s="95">
        <f t="shared" si="52"/>
        <v>6.7892000000000632</v>
      </c>
      <c r="AP28" s="96">
        <f t="shared" si="23"/>
        <v>78.799999999999955</v>
      </c>
      <c r="AQ28" s="59">
        <f t="shared" si="24"/>
        <v>26.686800000000055</v>
      </c>
      <c r="AR28" s="60">
        <f t="shared" si="25"/>
        <v>52.1131999999999</v>
      </c>
      <c r="AS28" s="97">
        <f t="shared" si="26"/>
        <v>55.368890777730449</v>
      </c>
      <c r="AT28" s="98">
        <f t="shared" si="27"/>
        <v>83.722906927326761</v>
      </c>
    </row>
    <row r="29" spans="1:46" x14ac:dyDescent="0.25">
      <c r="A29" s="79"/>
      <c r="B29" s="49" t="s">
        <v>37</v>
      </c>
      <c r="C29" s="91">
        <f t="shared" si="28"/>
        <v>18</v>
      </c>
      <c r="D29" s="51">
        <v>18</v>
      </c>
      <c r="E29" s="92">
        <v>931</v>
      </c>
      <c r="F29" s="56">
        <v>12.88</v>
      </c>
      <c r="G29" s="93">
        <f t="shared" si="29"/>
        <v>5.0136000000000003</v>
      </c>
      <c r="H29" s="94">
        <f t="shared" si="30"/>
        <v>7.8664000000000005</v>
      </c>
      <c r="I29" s="53">
        <v>12.45</v>
      </c>
      <c r="J29" s="93">
        <f t="shared" si="31"/>
        <v>2.6760000000000002</v>
      </c>
      <c r="K29" s="95">
        <f t="shared" si="32"/>
        <v>9.7739999999999991</v>
      </c>
      <c r="L29" s="56">
        <v>9.9600000000000364</v>
      </c>
      <c r="M29" s="93">
        <f t="shared" si="33"/>
        <v>3.0912000000000024</v>
      </c>
      <c r="N29" s="94">
        <f t="shared" si="34"/>
        <v>6.868800000000034</v>
      </c>
      <c r="O29" s="53">
        <v>6.8700000000000045</v>
      </c>
      <c r="P29" s="93">
        <f t="shared" si="35"/>
        <v>2.6604000000000019</v>
      </c>
      <c r="Q29" s="95">
        <f t="shared" si="36"/>
        <v>4.2096000000000027</v>
      </c>
      <c r="R29" s="56">
        <v>2.9600000000000364</v>
      </c>
      <c r="S29" s="93">
        <f t="shared" si="37"/>
        <v>2.6694</v>
      </c>
      <c r="T29" s="94">
        <f t="shared" si="38"/>
        <v>0.29060000000003638</v>
      </c>
      <c r="U29" s="53">
        <v>2.0799999999999272</v>
      </c>
      <c r="V29" s="93">
        <f t="shared" si="39"/>
        <v>2.7348000000000026</v>
      </c>
      <c r="W29" s="95">
        <f t="shared" si="40"/>
        <v>-0.65480000000007532</v>
      </c>
      <c r="X29" s="56">
        <v>1.6800000000000637</v>
      </c>
      <c r="Y29" s="93">
        <f t="shared" si="41"/>
        <v>2.2092000000000027</v>
      </c>
      <c r="Z29" s="94">
        <f t="shared" si="42"/>
        <v>-0.52919999999993905</v>
      </c>
      <c r="AA29" s="53">
        <v>1.91</v>
      </c>
      <c r="AB29" s="93">
        <f t="shared" si="43"/>
        <v>2.4263999999999997</v>
      </c>
      <c r="AC29" s="95">
        <f t="shared" si="44"/>
        <v>-0.51639999999999975</v>
      </c>
      <c r="AD29" s="56">
        <v>2.0699999999999998</v>
      </c>
      <c r="AE29" s="93">
        <f t="shared" si="45"/>
        <v>2.6934</v>
      </c>
      <c r="AF29" s="94">
        <f t="shared" si="46"/>
        <v>-0.62340000000000018</v>
      </c>
      <c r="AG29" s="53">
        <v>6.51</v>
      </c>
      <c r="AH29" s="93">
        <f t="shared" si="47"/>
        <v>2.4510000000000001</v>
      </c>
      <c r="AI29" s="95">
        <f t="shared" si="48"/>
        <v>4.0589999999999993</v>
      </c>
      <c r="AJ29" s="56">
        <v>9</v>
      </c>
      <c r="AK29" s="93">
        <f t="shared" si="49"/>
        <v>2.6045999999999978</v>
      </c>
      <c r="AL29" s="94">
        <f t="shared" si="50"/>
        <v>6.3954000000000022</v>
      </c>
      <c r="AM29" s="53">
        <v>10.620000000000005</v>
      </c>
      <c r="AN29" s="93">
        <f t="shared" si="51"/>
        <v>1.9854000000000018</v>
      </c>
      <c r="AO29" s="95">
        <f t="shared" si="52"/>
        <v>8.6346000000000025</v>
      </c>
      <c r="AP29" s="96">
        <f t="shared" si="23"/>
        <v>78.990000000000066</v>
      </c>
      <c r="AQ29" s="59">
        <f t="shared" si="24"/>
        <v>33.21540000000001</v>
      </c>
      <c r="AR29" s="60">
        <f t="shared" si="25"/>
        <v>45.774600000000056</v>
      </c>
      <c r="AS29" s="97">
        <f t="shared" si="26"/>
        <v>49.16713211600436</v>
      </c>
      <c r="AT29" s="98">
        <f t="shared" si="27"/>
        <v>84.844253490870116</v>
      </c>
    </row>
    <row r="30" spans="1:46" x14ac:dyDescent="0.25">
      <c r="A30" s="79"/>
      <c r="B30" s="49" t="s">
        <v>38</v>
      </c>
      <c r="C30" s="91">
        <f t="shared" si="28"/>
        <v>24</v>
      </c>
      <c r="D30" s="51">
        <v>24</v>
      </c>
      <c r="E30" s="92">
        <v>1299.8</v>
      </c>
      <c r="F30" s="56">
        <v>21.92</v>
      </c>
      <c r="G30" s="93">
        <f t="shared" si="29"/>
        <v>3.06</v>
      </c>
      <c r="H30" s="94">
        <f t="shared" si="30"/>
        <v>18.860000000000003</v>
      </c>
      <c r="I30" s="53">
        <v>19.329999999999998</v>
      </c>
      <c r="J30" s="93">
        <f t="shared" si="31"/>
        <v>2.9598</v>
      </c>
      <c r="K30" s="95">
        <f t="shared" si="32"/>
        <v>16.370199999999997</v>
      </c>
      <c r="L30" s="56">
        <v>14.839999999999918</v>
      </c>
      <c r="M30" s="93">
        <f t="shared" si="33"/>
        <v>3.1194000000000415</v>
      </c>
      <c r="N30" s="94">
        <f t="shared" si="34"/>
        <v>11.720599999999877</v>
      </c>
      <c r="O30" s="53">
        <v>11.48</v>
      </c>
      <c r="P30" s="93">
        <f t="shared" si="35"/>
        <v>3.1523999999999996</v>
      </c>
      <c r="Q30" s="95">
        <f t="shared" si="36"/>
        <v>8.3276000000000003</v>
      </c>
      <c r="R30" s="56">
        <v>6.3799999999998818</v>
      </c>
      <c r="S30" s="93">
        <f t="shared" si="37"/>
        <v>2.1960000000000002</v>
      </c>
      <c r="T30" s="94">
        <f t="shared" si="38"/>
        <v>4.183999999999882</v>
      </c>
      <c r="U30" s="53">
        <v>6.4600000000000364</v>
      </c>
      <c r="V30" s="93">
        <f t="shared" si="39"/>
        <v>2.8902000000000001</v>
      </c>
      <c r="W30" s="95">
        <f t="shared" si="40"/>
        <v>3.5698000000000363</v>
      </c>
      <c r="X30" s="56">
        <v>5.58</v>
      </c>
      <c r="Y30" s="93">
        <f t="shared" si="41"/>
        <v>2.7731999999999997</v>
      </c>
      <c r="Z30" s="94">
        <f t="shared" si="42"/>
        <v>2.8068000000000004</v>
      </c>
      <c r="AA30" s="53">
        <v>6.08</v>
      </c>
      <c r="AB30" s="93">
        <f t="shared" si="43"/>
        <v>3.0366</v>
      </c>
      <c r="AC30" s="95">
        <f t="shared" si="44"/>
        <v>3.0434000000000001</v>
      </c>
      <c r="AD30" s="56">
        <v>6.11</v>
      </c>
      <c r="AE30" s="93">
        <f t="shared" si="45"/>
        <v>3.012</v>
      </c>
      <c r="AF30" s="94">
        <f t="shared" si="46"/>
        <v>3.0980000000000003</v>
      </c>
      <c r="AG30" s="53">
        <v>11.08</v>
      </c>
      <c r="AH30" s="93">
        <f t="shared" si="47"/>
        <v>3.3221999999999996</v>
      </c>
      <c r="AI30" s="95">
        <f t="shared" si="48"/>
        <v>7.7578000000000005</v>
      </c>
      <c r="AJ30" s="56">
        <v>14.449999999999818</v>
      </c>
      <c r="AK30" s="93">
        <f t="shared" si="49"/>
        <v>3.4170000000000025</v>
      </c>
      <c r="AL30" s="94">
        <f t="shared" si="50"/>
        <v>11.032999999999817</v>
      </c>
      <c r="AM30" s="101">
        <v>15.860000000000127</v>
      </c>
      <c r="AN30" s="93">
        <f t="shared" si="51"/>
        <v>2.8793999999999969</v>
      </c>
      <c r="AO30" s="95">
        <f t="shared" si="52"/>
        <v>12.98060000000013</v>
      </c>
      <c r="AP30" s="96">
        <f t="shared" si="23"/>
        <v>139.56999999999977</v>
      </c>
      <c r="AQ30" s="59">
        <f t="shared" si="24"/>
        <v>35.81820000000004</v>
      </c>
      <c r="AR30" s="60">
        <f t="shared" si="25"/>
        <v>103.75179999999972</v>
      </c>
      <c r="AS30" s="97">
        <f t="shared" si="26"/>
        <v>79.821357131866222</v>
      </c>
      <c r="AT30" s="98">
        <f t="shared" si="27"/>
        <v>107.3780581627941</v>
      </c>
    </row>
    <row r="31" spans="1:46" x14ac:dyDescent="0.25">
      <c r="A31" s="79"/>
      <c r="B31" s="49" t="s">
        <v>39</v>
      </c>
      <c r="C31" s="91">
        <f t="shared" si="28"/>
        <v>24</v>
      </c>
      <c r="D31" s="51">
        <v>24</v>
      </c>
      <c r="E31" s="92">
        <v>1302.2</v>
      </c>
      <c r="F31" s="56">
        <v>17.04</v>
      </c>
      <c r="G31" s="93">
        <f t="shared" si="29"/>
        <v>4.0553999999999997</v>
      </c>
      <c r="H31" s="94">
        <f t="shared" si="30"/>
        <v>12.9846</v>
      </c>
      <c r="I31" s="53">
        <v>14.34</v>
      </c>
      <c r="J31" s="93">
        <f t="shared" si="31"/>
        <v>3.8418000000000001</v>
      </c>
      <c r="K31" s="95">
        <f t="shared" si="32"/>
        <v>10.498200000000001</v>
      </c>
      <c r="L31" s="56">
        <v>11.489999999999782</v>
      </c>
      <c r="M31" s="93">
        <f t="shared" si="33"/>
        <v>3.9413999999999962</v>
      </c>
      <c r="N31" s="94">
        <f t="shared" si="34"/>
        <v>7.5485999999997855</v>
      </c>
      <c r="O31" s="53">
        <v>10.17</v>
      </c>
      <c r="P31" s="93">
        <f t="shared" si="35"/>
        <v>4.2347999999999999</v>
      </c>
      <c r="Q31" s="95">
        <f t="shared" si="36"/>
        <v>5.9352</v>
      </c>
      <c r="R31" s="56">
        <v>6.1400000000003274</v>
      </c>
      <c r="S31" s="93">
        <f t="shared" si="37"/>
        <v>4.0763999999999996</v>
      </c>
      <c r="T31" s="94">
        <f t="shared" si="38"/>
        <v>2.0636000000003278</v>
      </c>
      <c r="U31" s="53">
        <v>6.1199999999998909</v>
      </c>
      <c r="V31" s="93">
        <f t="shared" si="39"/>
        <v>4.2047999999999952</v>
      </c>
      <c r="W31" s="95">
        <f t="shared" si="40"/>
        <v>1.9151999999998957</v>
      </c>
      <c r="X31" s="56">
        <v>5.5999999999997092</v>
      </c>
      <c r="Y31" s="93">
        <f t="shared" si="41"/>
        <v>3.7247999999999997</v>
      </c>
      <c r="Z31" s="94">
        <f t="shared" si="42"/>
        <v>1.8751999999997095</v>
      </c>
      <c r="AA31" s="53">
        <v>5.69</v>
      </c>
      <c r="AB31" s="93">
        <f t="shared" si="43"/>
        <v>3.5057999999999998</v>
      </c>
      <c r="AC31" s="95">
        <f t="shared" si="44"/>
        <v>2.1842000000000006</v>
      </c>
      <c r="AD31" s="56">
        <v>5.85</v>
      </c>
      <c r="AE31" s="93">
        <f t="shared" si="45"/>
        <v>3.7877999999999998</v>
      </c>
      <c r="AF31" s="94">
        <f t="shared" si="46"/>
        <v>2.0621999999999998</v>
      </c>
      <c r="AG31" s="53">
        <v>8.44</v>
      </c>
      <c r="AH31" s="93">
        <f t="shared" si="47"/>
        <v>3.4451999999999998</v>
      </c>
      <c r="AI31" s="95">
        <f t="shared" si="48"/>
        <v>4.9947999999999997</v>
      </c>
      <c r="AJ31" s="56">
        <v>12.359999999999673</v>
      </c>
      <c r="AK31" s="93">
        <f t="shared" si="49"/>
        <v>4.0721999999999934</v>
      </c>
      <c r="AL31" s="94">
        <f t="shared" si="50"/>
        <v>8.2877999999996792</v>
      </c>
      <c r="AM31" s="101">
        <v>13.239999999999782</v>
      </c>
      <c r="AN31" s="93">
        <f t="shared" si="51"/>
        <v>3.8754000000000084</v>
      </c>
      <c r="AO31" s="95">
        <f t="shared" si="52"/>
        <v>9.3645999999997738</v>
      </c>
      <c r="AP31" s="96">
        <f t="shared" si="23"/>
        <v>116.47999999999915</v>
      </c>
      <c r="AQ31" s="59">
        <f t="shared" si="24"/>
        <v>46.765799999999992</v>
      </c>
      <c r="AR31" s="60">
        <f t="shared" si="25"/>
        <v>69.714199999999153</v>
      </c>
      <c r="AS31" s="97">
        <f t="shared" si="26"/>
        <v>53.535708800490823</v>
      </c>
      <c r="AT31" s="98">
        <f t="shared" si="27"/>
        <v>89.44862540316322</v>
      </c>
    </row>
    <row r="32" spans="1:46" x14ac:dyDescent="0.25">
      <c r="A32" s="79"/>
      <c r="B32" s="49" t="s">
        <v>40</v>
      </c>
      <c r="C32" s="91">
        <f t="shared" si="28"/>
        <v>41</v>
      </c>
      <c r="D32" s="51">
        <v>41</v>
      </c>
      <c r="E32" s="92">
        <v>2294.5</v>
      </c>
      <c r="F32" s="56">
        <v>71.16</v>
      </c>
      <c r="G32" s="93">
        <f t="shared" si="29"/>
        <v>8.2398000000000007</v>
      </c>
      <c r="H32" s="94">
        <f t="shared" si="30"/>
        <v>62.920199999999994</v>
      </c>
      <c r="I32" s="53">
        <v>59.34</v>
      </c>
      <c r="J32" s="93">
        <f t="shared" si="31"/>
        <v>7.3283999999999994</v>
      </c>
      <c r="K32" s="95">
        <f t="shared" si="32"/>
        <v>52.011600000000001</v>
      </c>
      <c r="L32" s="56">
        <v>42.279999999999745</v>
      </c>
      <c r="M32" s="93">
        <f t="shared" si="33"/>
        <v>6.3720000000000434</v>
      </c>
      <c r="N32" s="94">
        <f t="shared" si="34"/>
        <v>35.907999999999703</v>
      </c>
      <c r="O32" s="53">
        <v>35.5</v>
      </c>
      <c r="P32" s="93">
        <f t="shared" si="35"/>
        <v>6.6383999999999652</v>
      </c>
      <c r="Q32" s="95">
        <f t="shared" si="36"/>
        <v>28.861600000000035</v>
      </c>
      <c r="R32" s="56">
        <v>11.21</v>
      </c>
      <c r="S32" s="93">
        <f t="shared" si="37"/>
        <v>5.8745999999999992</v>
      </c>
      <c r="T32" s="94">
        <f t="shared" si="38"/>
        <v>5.3354000000000017</v>
      </c>
      <c r="U32" s="53">
        <v>10.520000000000437</v>
      </c>
      <c r="V32" s="93">
        <f t="shared" si="39"/>
        <v>6.1134000000000004</v>
      </c>
      <c r="W32" s="95">
        <f t="shared" si="40"/>
        <v>4.4066000000004362</v>
      </c>
      <c r="X32" s="56">
        <v>8.319999999999709</v>
      </c>
      <c r="Y32" s="93">
        <f t="shared" si="41"/>
        <v>4.5473999999999997</v>
      </c>
      <c r="Z32" s="94">
        <f t="shared" si="42"/>
        <v>3.7725999999997093</v>
      </c>
      <c r="AA32" s="53">
        <v>9.8900000000003274</v>
      </c>
      <c r="AB32" s="93">
        <f t="shared" si="43"/>
        <v>5.7227999999999994</v>
      </c>
      <c r="AC32" s="95">
        <f t="shared" si="44"/>
        <v>4.167200000000328</v>
      </c>
      <c r="AD32" s="56">
        <v>9.11</v>
      </c>
      <c r="AE32" s="93">
        <f t="shared" si="45"/>
        <v>5.46</v>
      </c>
      <c r="AF32" s="94">
        <f t="shared" si="46"/>
        <v>3.6499999999999995</v>
      </c>
      <c r="AG32" s="53">
        <v>17.04</v>
      </c>
      <c r="AH32" s="93">
        <f t="shared" si="47"/>
        <v>5.5427999999999997</v>
      </c>
      <c r="AI32" s="95">
        <f t="shared" si="48"/>
        <v>11.497199999999999</v>
      </c>
      <c r="AJ32" s="56">
        <v>24.960000000000036</v>
      </c>
      <c r="AK32" s="93">
        <f t="shared" si="49"/>
        <v>6.2436000000000034</v>
      </c>
      <c r="AL32" s="94">
        <f t="shared" si="50"/>
        <v>18.716400000000032</v>
      </c>
      <c r="AM32" s="101">
        <v>25.989999999999782</v>
      </c>
      <c r="AN32" s="93">
        <f t="shared" si="51"/>
        <v>5.9315999999999942</v>
      </c>
      <c r="AO32" s="95">
        <f t="shared" si="52"/>
        <v>20.058399999999786</v>
      </c>
      <c r="AP32" s="96">
        <f t="shared" si="23"/>
        <v>325.32000000000005</v>
      </c>
      <c r="AQ32" s="59">
        <f t="shared" si="24"/>
        <v>74.014799999999994</v>
      </c>
      <c r="AR32" s="60">
        <f t="shared" si="25"/>
        <v>251.30520000000007</v>
      </c>
      <c r="AS32" s="97">
        <f t="shared" si="26"/>
        <v>109.5250381346699</v>
      </c>
      <c r="AT32" s="98">
        <f t="shared" si="27"/>
        <v>141.78252342558295</v>
      </c>
    </row>
    <row r="33" spans="1:46" x14ac:dyDescent="0.25">
      <c r="A33" s="79"/>
      <c r="B33" s="49" t="s">
        <v>41</v>
      </c>
      <c r="C33" s="91">
        <f t="shared" si="28"/>
        <v>64</v>
      </c>
      <c r="D33" s="51">
        <v>64</v>
      </c>
      <c r="E33" s="92">
        <v>2257.1999999999998</v>
      </c>
      <c r="F33" s="56">
        <v>59.24</v>
      </c>
      <c r="G33" s="93">
        <f t="shared" si="29"/>
        <v>5.532</v>
      </c>
      <c r="H33" s="94">
        <f t="shared" si="30"/>
        <v>53.707999999999998</v>
      </c>
      <c r="I33" s="53">
        <v>57.06</v>
      </c>
      <c r="J33" s="93">
        <f t="shared" si="31"/>
        <v>5.7527999999999997</v>
      </c>
      <c r="K33" s="95">
        <f t="shared" si="32"/>
        <v>51.307200000000002</v>
      </c>
      <c r="L33" s="56">
        <v>40.609999999999673</v>
      </c>
      <c r="M33" s="93">
        <f t="shared" si="33"/>
        <v>5.3640000000000869</v>
      </c>
      <c r="N33" s="94">
        <f t="shared" si="34"/>
        <v>35.245999999999583</v>
      </c>
      <c r="O33" s="53">
        <v>32.880000000000109</v>
      </c>
      <c r="P33" s="93">
        <f t="shared" si="35"/>
        <v>5.8206000000001223</v>
      </c>
      <c r="Q33" s="95">
        <f t="shared" si="36"/>
        <v>27.059399999999986</v>
      </c>
      <c r="R33" s="56">
        <v>17.07</v>
      </c>
      <c r="S33" s="93">
        <f t="shared" si="37"/>
        <v>1.8743999999999998</v>
      </c>
      <c r="T33" s="94">
        <f t="shared" si="38"/>
        <v>15.195600000000001</v>
      </c>
      <c r="U33" s="53">
        <v>13.730000000000018</v>
      </c>
      <c r="V33" s="93">
        <f t="shared" si="39"/>
        <v>2.8301999999998952</v>
      </c>
      <c r="W33" s="95">
        <f t="shared" si="40"/>
        <v>10.899800000000123</v>
      </c>
      <c r="X33" s="56">
        <v>9.4699999999997999</v>
      </c>
      <c r="Y33" s="93">
        <f t="shared" si="41"/>
        <v>3.8724000000000522</v>
      </c>
      <c r="Z33" s="94">
        <f t="shared" si="42"/>
        <v>5.5975999999997477</v>
      </c>
      <c r="AA33" s="53">
        <v>8.44</v>
      </c>
      <c r="AB33" s="93">
        <f t="shared" si="43"/>
        <v>3.9767999999999999</v>
      </c>
      <c r="AC33" s="95">
        <f t="shared" si="44"/>
        <v>4.4631999999999996</v>
      </c>
      <c r="AD33" s="56">
        <v>9.15</v>
      </c>
      <c r="AE33" s="93">
        <f t="shared" si="45"/>
        <v>4.2767999999999997</v>
      </c>
      <c r="AF33" s="94">
        <f t="shared" si="46"/>
        <v>4.8732000000000006</v>
      </c>
      <c r="AG33" s="53">
        <v>16.98</v>
      </c>
      <c r="AH33" s="93">
        <f t="shared" si="47"/>
        <v>4.2017999999999995</v>
      </c>
      <c r="AI33" s="95">
        <f t="shared" si="48"/>
        <v>12.778200000000002</v>
      </c>
      <c r="AJ33" s="56">
        <v>23.519999999999982</v>
      </c>
      <c r="AK33" s="93">
        <f t="shared" si="49"/>
        <v>4.7159999999999123</v>
      </c>
      <c r="AL33" s="94">
        <f t="shared" si="50"/>
        <v>18.80400000000007</v>
      </c>
      <c r="AM33" s="101">
        <v>23.409999999999854</v>
      </c>
      <c r="AN33" s="93">
        <f t="shared" si="51"/>
        <v>4.429800000000105</v>
      </c>
      <c r="AO33" s="95">
        <f t="shared" si="52"/>
        <v>18.980199999999748</v>
      </c>
      <c r="AP33" s="96">
        <f t="shared" si="23"/>
        <v>311.55999999999943</v>
      </c>
      <c r="AQ33" s="59">
        <f t="shared" si="24"/>
        <v>52.647600000000175</v>
      </c>
      <c r="AR33" s="60">
        <f t="shared" si="25"/>
        <v>258.91239999999925</v>
      </c>
      <c r="AS33" s="97">
        <f t="shared" si="26"/>
        <v>114.70512138933159</v>
      </c>
      <c r="AT33" s="98">
        <f t="shared" si="27"/>
        <v>138.02941697678514</v>
      </c>
    </row>
    <row r="34" spans="1:46" x14ac:dyDescent="0.25">
      <c r="A34" s="79"/>
      <c r="B34" s="49" t="s">
        <v>42</v>
      </c>
      <c r="C34" s="91">
        <f t="shared" si="28"/>
        <v>18</v>
      </c>
      <c r="D34" s="51">
        <v>18</v>
      </c>
      <c r="E34" s="92">
        <v>805.9</v>
      </c>
      <c r="F34" s="56">
        <v>11.78</v>
      </c>
      <c r="G34" s="93">
        <f t="shared" si="29"/>
        <v>2.2151999999999998</v>
      </c>
      <c r="H34" s="94">
        <f t="shared" si="30"/>
        <v>9.5648</v>
      </c>
      <c r="I34" s="53">
        <v>10.93</v>
      </c>
      <c r="J34" s="93">
        <f t="shared" si="31"/>
        <v>2.5158</v>
      </c>
      <c r="K34" s="95">
        <f t="shared" si="32"/>
        <v>8.4141999999999992</v>
      </c>
      <c r="L34" s="56">
        <v>8.0099999999999909</v>
      </c>
      <c r="M34" s="93">
        <f t="shared" si="33"/>
        <v>2.1005999999999996</v>
      </c>
      <c r="N34" s="94">
        <f t="shared" si="34"/>
        <v>5.9093999999999909</v>
      </c>
      <c r="O34" s="53">
        <v>7.6000000000000227</v>
      </c>
      <c r="P34" s="93">
        <f t="shared" si="35"/>
        <v>2.7497999999999996</v>
      </c>
      <c r="Q34" s="95">
        <f t="shared" si="36"/>
        <v>4.8502000000000232</v>
      </c>
      <c r="R34" s="56">
        <v>2.5</v>
      </c>
      <c r="S34" s="93">
        <f t="shared" si="37"/>
        <v>2.1881999999999997</v>
      </c>
      <c r="T34" s="94">
        <f t="shared" si="38"/>
        <v>0.3118000000000003</v>
      </c>
      <c r="U34" s="53">
        <v>2.5199999999999818</v>
      </c>
      <c r="V34" s="93">
        <f t="shared" si="39"/>
        <v>2.2253999999999996</v>
      </c>
      <c r="W34" s="95">
        <f t="shared" si="40"/>
        <v>0.29459999999998221</v>
      </c>
      <c r="X34" s="56">
        <v>2.2200000000000273</v>
      </c>
      <c r="Y34" s="93">
        <f t="shared" si="41"/>
        <v>2.0711999999999997</v>
      </c>
      <c r="Z34" s="94">
        <f t="shared" si="42"/>
        <v>0.14880000000002758</v>
      </c>
      <c r="AA34" s="53">
        <v>2.52</v>
      </c>
      <c r="AB34" s="93">
        <f t="shared" si="43"/>
        <v>2.3058000000000001</v>
      </c>
      <c r="AC34" s="95">
        <f t="shared" si="44"/>
        <v>0.21419999999999995</v>
      </c>
      <c r="AD34" s="56">
        <v>2.81</v>
      </c>
      <c r="AE34" s="93">
        <f t="shared" si="45"/>
        <v>2.7245999999999997</v>
      </c>
      <c r="AF34" s="94">
        <f t="shared" si="46"/>
        <v>8.5400000000000365E-2</v>
      </c>
      <c r="AG34" s="53">
        <v>5.88</v>
      </c>
      <c r="AH34" s="93">
        <f t="shared" si="47"/>
        <v>2.6741999999999999</v>
      </c>
      <c r="AI34" s="95">
        <f t="shared" si="48"/>
        <v>3.2058</v>
      </c>
      <c r="AJ34" s="56">
        <v>7.9800000000000182</v>
      </c>
      <c r="AK34" s="93">
        <f t="shared" si="49"/>
        <v>2.5727999999999995</v>
      </c>
      <c r="AL34" s="94">
        <f t="shared" si="50"/>
        <v>5.4072000000000191</v>
      </c>
      <c r="AM34" s="101">
        <v>9.3300000000000409</v>
      </c>
      <c r="AN34" s="93">
        <f t="shared" si="51"/>
        <v>2.6124000000000009</v>
      </c>
      <c r="AO34" s="95">
        <f t="shared" si="52"/>
        <v>6.71760000000004</v>
      </c>
      <c r="AP34" s="96">
        <f t="shared" si="23"/>
        <v>74.080000000000098</v>
      </c>
      <c r="AQ34" s="59">
        <f t="shared" si="24"/>
        <v>28.956</v>
      </c>
      <c r="AR34" s="60">
        <f t="shared" si="25"/>
        <v>45.124000000000095</v>
      </c>
      <c r="AS34" s="97">
        <f t="shared" si="26"/>
        <v>55.992058568060671</v>
      </c>
      <c r="AT34" s="98">
        <f t="shared" si="27"/>
        <v>91.92207469909431</v>
      </c>
    </row>
    <row r="35" spans="1:46" x14ac:dyDescent="0.25">
      <c r="A35" s="79"/>
      <c r="B35" s="49" t="s">
        <v>43</v>
      </c>
      <c r="C35" s="91">
        <v>18</v>
      </c>
      <c r="D35" s="51">
        <v>18</v>
      </c>
      <c r="E35" s="92">
        <v>1199.5</v>
      </c>
      <c r="F35" s="56">
        <v>15.4</v>
      </c>
      <c r="G35" s="93">
        <f t="shared" si="29"/>
        <v>3.4055999999999997</v>
      </c>
      <c r="H35" s="94">
        <f t="shared" si="30"/>
        <v>11.994400000000001</v>
      </c>
      <c r="I35" s="53">
        <v>13.99</v>
      </c>
      <c r="J35" s="93">
        <f t="shared" si="31"/>
        <v>3.1320000000000001</v>
      </c>
      <c r="K35" s="95">
        <f t="shared" si="32"/>
        <v>10.858000000000001</v>
      </c>
      <c r="L35" s="56">
        <v>9.8700000000000045</v>
      </c>
      <c r="M35" s="93">
        <f t="shared" si="33"/>
        <v>3.1835999999999691</v>
      </c>
      <c r="N35" s="94">
        <f t="shared" si="34"/>
        <v>6.6864000000000354</v>
      </c>
      <c r="O35" s="53">
        <v>9.2099999999999227</v>
      </c>
      <c r="P35" s="93">
        <f t="shared" si="35"/>
        <v>4.1723999999999428</v>
      </c>
      <c r="Q35" s="95">
        <f t="shared" si="36"/>
        <v>5.0375999999999799</v>
      </c>
      <c r="R35" s="56">
        <v>3.3500000000000227</v>
      </c>
      <c r="S35" s="93">
        <f t="shared" si="37"/>
        <v>3.9186000000000001</v>
      </c>
      <c r="T35" s="94">
        <f t="shared" si="38"/>
        <v>-0.56859999999997735</v>
      </c>
      <c r="U35" s="53">
        <v>3.5400000000000773</v>
      </c>
      <c r="V35" s="93">
        <f t="shared" si="39"/>
        <v>4.839599999999991</v>
      </c>
      <c r="W35" s="95">
        <f t="shared" si="40"/>
        <v>-1.2995999999999137</v>
      </c>
      <c r="X35" s="56">
        <v>2.6599999999998545</v>
      </c>
      <c r="Y35" s="93">
        <f t="shared" si="41"/>
        <v>3.8154000000000088</v>
      </c>
      <c r="Z35" s="94">
        <f t="shared" si="42"/>
        <v>-1.1554000000001543</v>
      </c>
      <c r="AA35" s="53">
        <v>3.19</v>
      </c>
      <c r="AB35" s="93">
        <f t="shared" si="43"/>
        <v>4.7454000000000001</v>
      </c>
      <c r="AC35" s="95">
        <f t="shared" si="44"/>
        <v>-1.5554000000000001</v>
      </c>
      <c r="AD35" s="56">
        <v>3.11</v>
      </c>
      <c r="AE35" s="93">
        <f t="shared" si="45"/>
        <v>4.4405999999999999</v>
      </c>
      <c r="AF35" s="94">
        <f t="shared" si="46"/>
        <v>-1.3306</v>
      </c>
      <c r="AG35" s="53">
        <v>8.8800000000000008</v>
      </c>
      <c r="AH35" s="93">
        <f t="shared" si="47"/>
        <v>4.4315999999999995</v>
      </c>
      <c r="AI35" s="95">
        <f t="shared" si="48"/>
        <v>4.4484000000000012</v>
      </c>
      <c r="AJ35" s="56">
        <v>11.980000000000018</v>
      </c>
      <c r="AK35" s="93">
        <f t="shared" si="49"/>
        <v>4.3997999999999955</v>
      </c>
      <c r="AL35" s="94">
        <f t="shared" si="50"/>
        <v>7.5802000000000227</v>
      </c>
      <c r="AM35" s="53">
        <v>14.649999999999977</v>
      </c>
      <c r="AN35" s="93">
        <f t="shared" si="51"/>
        <v>4.6002000000000045</v>
      </c>
      <c r="AO35" s="95">
        <f t="shared" si="52"/>
        <v>10.049799999999973</v>
      </c>
      <c r="AP35" s="96">
        <f t="shared" si="23"/>
        <v>99.82999999999987</v>
      </c>
      <c r="AQ35" s="59">
        <f t="shared" si="24"/>
        <v>49.084799999999916</v>
      </c>
      <c r="AR35" s="60">
        <f t="shared" si="25"/>
        <v>50.745199999999954</v>
      </c>
      <c r="AS35" s="97">
        <f t="shared" si="26"/>
        <v>42.305293872446811</v>
      </c>
      <c r="AT35" s="98">
        <f t="shared" si="27"/>
        <v>83.226344310129107</v>
      </c>
    </row>
    <row r="36" spans="1:46" x14ac:dyDescent="0.25">
      <c r="A36" s="79"/>
      <c r="B36" s="49" t="s">
        <v>44</v>
      </c>
      <c r="C36" s="91">
        <v>18</v>
      </c>
      <c r="D36" s="51">
        <v>18</v>
      </c>
      <c r="E36" s="92">
        <v>1173.2</v>
      </c>
      <c r="F36" s="56">
        <v>17.329999999999998</v>
      </c>
      <c r="G36" s="93">
        <f t="shared" si="29"/>
        <v>4.5</v>
      </c>
      <c r="H36" s="94">
        <f t="shared" si="30"/>
        <v>12.829999999999998</v>
      </c>
      <c r="I36" s="53">
        <v>15.86</v>
      </c>
      <c r="J36" s="93">
        <f t="shared" si="31"/>
        <v>4.1399999999999997</v>
      </c>
      <c r="K36" s="95">
        <f t="shared" si="32"/>
        <v>11.719999999999999</v>
      </c>
      <c r="L36" s="56">
        <v>11.269999999999982</v>
      </c>
      <c r="M36" s="93">
        <f t="shared" si="33"/>
        <v>3.78</v>
      </c>
      <c r="N36" s="94">
        <f t="shared" si="34"/>
        <v>7.4899999999999824</v>
      </c>
      <c r="O36" s="53">
        <v>10.849999999999909</v>
      </c>
      <c r="P36" s="93">
        <f t="shared" si="35"/>
        <v>4.9799999999999995</v>
      </c>
      <c r="Q36" s="95">
        <f t="shared" si="36"/>
        <v>5.8699999999999095</v>
      </c>
      <c r="R36" s="56">
        <v>6.6800000000000637</v>
      </c>
      <c r="S36" s="93">
        <f t="shared" si="37"/>
        <v>4.68</v>
      </c>
      <c r="T36" s="94">
        <f t="shared" si="38"/>
        <v>2.0000000000000639</v>
      </c>
      <c r="U36" s="53">
        <v>4.0899999999999181</v>
      </c>
      <c r="V36" s="93">
        <f t="shared" si="39"/>
        <v>4.74</v>
      </c>
      <c r="W36" s="95">
        <f t="shared" si="40"/>
        <v>-0.65000000000008207</v>
      </c>
      <c r="X36" s="56">
        <v>3.2100000000000364</v>
      </c>
      <c r="Y36" s="93">
        <f t="shared" si="41"/>
        <v>3.36</v>
      </c>
      <c r="Z36" s="94">
        <f t="shared" si="42"/>
        <v>-0.1499999999999635</v>
      </c>
      <c r="AA36" s="53">
        <v>3.71</v>
      </c>
      <c r="AB36" s="93">
        <f t="shared" si="43"/>
        <v>4.2</v>
      </c>
      <c r="AC36" s="95">
        <f t="shared" si="44"/>
        <v>-0.49000000000000021</v>
      </c>
      <c r="AD36" s="56">
        <v>3.68</v>
      </c>
      <c r="AE36" s="93">
        <f t="shared" si="45"/>
        <v>4.08</v>
      </c>
      <c r="AF36" s="94">
        <f t="shared" si="46"/>
        <v>-0.39999999999999991</v>
      </c>
      <c r="AG36" s="53">
        <v>7.74</v>
      </c>
      <c r="AH36" s="93">
        <f t="shared" si="47"/>
        <v>4.1399999999999997</v>
      </c>
      <c r="AI36" s="95">
        <f t="shared" si="48"/>
        <v>3.6000000000000005</v>
      </c>
      <c r="AJ36" s="56">
        <v>10.940000000000055</v>
      </c>
      <c r="AK36" s="93">
        <f t="shared" si="49"/>
        <v>4.5</v>
      </c>
      <c r="AL36" s="94">
        <f t="shared" si="50"/>
        <v>6.4400000000000546</v>
      </c>
      <c r="AM36" s="53">
        <v>13.339999999999918</v>
      </c>
      <c r="AN36" s="93">
        <f t="shared" si="51"/>
        <v>4.68</v>
      </c>
      <c r="AO36" s="95">
        <f t="shared" si="52"/>
        <v>8.6599999999999184</v>
      </c>
      <c r="AP36" s="96">
        <f t="shared" si="23"/>
        <v>108.69999999999987</v>
      </c>
      <c r="AQ36" s="59">
        <f t="shared" si="24"/>
        <v>51.78</v>
      </c>
      <c r="AR36" s="60">
        <f t="shared" si="25"/>
        <v>56.919999999999874</v>
      </c>
      <c r="AS36" s="97">
        <f t="shared" si="26"/>
        <v>48.516876917831468</v>
      </c>
      <c r="AT36" s="98">
        <f t="shared" si="27"/>
        <v>92.652574156153989</v>
      </c>
    </row>
    <row r="37" spans="1:46" x14ac:dyDescent="0.25">
      <c r="A37" s="79"/>
      <c r="B37" s="102" t="s">
        <v>52</v>
      </c>
      <c r="C37" s="91">
        <v>0</v>
      </c>
      <c r="D37" s="103">
        <v>21</v>
      </c>
      <c r="E37" s="104">
        <v>1322</v>
      </c>
      <c r="F37" s="56">
        <v>14.678260869565218</v>
      </c>
      <c r="G37" s="93">
        <f t="shared" si="29"/>
        <v>0</v>
      </c>
      <c r="H37" s="94">
        <f t="shared" si="30"/>
        <v>14.678260869565218</v>
      </c>
      <c r="I37" s="53">
        <v>10.52</v>
      </c>
      <c r="J37" s="93">
        <f t="shared" si="31"/>
        <v>0</v>
      </c>
      <c r="K37" s="95">
        <f t="shared" si="32"/>
        <v>10.52</v>
      </c>
      <c r="L37" s="56">
        <v>7.47</v>
      </c>
      <c r="M37" s="93">
        <f t="shared" si="33"/>
        <v>0</v>
      </c>
      <c r="N37" s="94">
        <f t="shared" si="34"/>
        <v>7.47</v>
      </c>
      <c r="O37" s="53">
        <v>5.1217391304347828</v>
      </c>
      <c r="P37" s="93">
        <f t="shared" si="35"/>
        <v>0</v>
      </c>
      <c r="Q37" s="95">
        <f t="shared" si="36"/>
        <v>5.1217391304347828</v>
      </c>
      <c r="R37" s="56">
        <v>0</v>
      </c>
      <c r="S37" s="93">
        <f t="shared" si="37"/>
        <v>0</v>
      </c>
      <c r="T37" s="94">
        <f t="shared" si="38"/>
        <v>0</v>
      </c>
      <c r="U37" s="53">
        <v>0</v>
      </c>
      <c r="V37" s="93">
        <f t="shared" si="39"/>
        <v>0</v>
      </c>
      <c r="W37" s="95">
        <f t="shared" si="40"/>
        <v>0</v>
      </c>
      <c r="X37" s="56">
        <v>0</v>
      </c>
      <c r="Y37" s="93">
        <f t="shared" si="41"/>
        <v>0</v>
      </c>
      <c r="Z37" s="94">
        <f t="shared" si="42"/>
        <v>0</v>
      </c>
      <c r="AA37" s="53">
        <v>0</v>
      </c>
      <c r="AB37" s="93">
        <f t="shared" si="43"/>
        <v>0</v>
      </c>
      <c r="AC37" s="95">
        <f t="shared" si="44"/>
        <v>0</v>
      </c>
      <c r="AD37" s="56">
        <v>0</v>
      </c>
      <c r="AE37" s="93">
        <f t="shared" si="45"/>
        <v>0</v>
      </c>
      <c r="AF37" s="94">
        <f t="shared" si="46"/>
        <v>0</v>
      </c>
      <c r="AG37" s="53">
        <v>5.2469999999999999</v>
      </c>
      <c r="AH37" s="93">
        <f t="shared" si="47"/>
        <v>0</v>
      </c>
      <c r="AI37" s="95">
        <f t="shared" si="48"/>
        <v>5.2469999999999999</v>
      </c>
      <c r="AJ37" s="56">
        <v>8.3563333333333336</v>
      </c>
      <c r="AK37" s="93">
        <f t="shared" si="49"/>
        <v>0</v>
      </c>
      <c r="AL37" s="94">
        <f t="shared" si="50"/>
        <v>8.3563333333333336</v>
      </c>
      <c r="AM37" s="53">
        <v>11.368499999999999</v>
      </c>
      <c r="AN37" s="93">
        <f t="shared" si="51"/>
        <v>0</v>
      </c>
      <c r="AO37" s="95">
        <f t="shared" si="52"/>
        <v>11.368499999999999</v>
      </c>
      <c r="AP37" s="96">
        <f t="shared" si="23"/>
        <v>62.761833333333328</v>
      </c>
      <c r="AQ37" s="59">
        <f t="shared" si="24"/>
        <v>0</v>
      </c>
      <c r="AR37" s="60">
        <f t="shared" si="25"/>
        <v>62.761833333333328</v>
      </c>
      <c r="AS37" s="97">
        <f t="shared" si="26"/>
        <v>47.474911749873925</v>
      </c>
      <c r="AT37" s="98">
        <f t="shared" si="27"/>
        <v>47.474911749873925</v>
      </c>
    </row>
    <row r="38" spans="1:46" x14ac:dyDescent="0.25">
      <c r="A38" s="79"/>
      <c r="B38" s="102" t="s">
        <v>53</v>
      </c>
      <c r="C38" s="91">
        <v>18</v>
      </c>
      <c r="D38" s="103">
        <v>18</v>
      </c>
      <c r="E38" s="104">
        <v>1238.4000000000001</v>
      </c>
      <c r="F38" s="56">
        <v>18.652173913043477</v>
      </c>
      <c r="G38" s="93">
        <f t="shared" si="29"/>
        <v>1.6199999999999999</v>
      </c>
      <c r="H38" s="94">
        <f t="shared" si="30"/>
        <v>17.032173913043476</v>
      </c>
      <c r="I38" s="53">
        <v>15.43</v>
      </c>
      <c r="J38" s="93">
        <f t="shared" si="31"/>
        <v>1.5</v>
      </c>
      <c r="K38" s="95">
        <f t="shared" si="32"/>
        <v>13.93</v>
      </c>
      <c r="L38" s="56">
        <v>12.17</v>
      </c>
      <c r="M38" s="93">
        <f t="shared" si="33"/>
        <v>1.7999999999999998</v>
      </c>
      <c r="N38" s="94">
        <f t="shared" si="34"/>
        <v>10.370000000000001</v>
      </c>
      <c r="O38" s="53">
        <v>8.3478260869565215</v>
      </c>
      <c r="P38" s="93">
        <f t="shared" si="35"/>
        <v>1.92</v>
      </c>
      <c r="Q38" s="95">
        <f t="shared" si="36"/>
        <v>6.4278260869565216</v>
      </c>
      <c r="R38" s="56">
        <v>3.2608695652173911</v>
      </c>
      <c r="S38" s="93">
        <f t="shared" si="37"/>
        <v>2.16</v>
      </c>
      <c r="T38" s="94">
        <f t="shared" si="38"/>
        <v>1.100869565217391</v>
      </c>
      <c r="U38" s="53">
        <v>3.3043478260869565</v>
      </c>
      <c r="V38" s="93">
        <f t="shared" si="39"/>
        <v>1.8599999999999999</v>
      </c>
      <c r="W38" s="95">
        <f t="shared" si="40"/>
        <v>1.4443478260869567</v>
      </c>
      <c r="X38" s="56">
        <v>2.7</v>
      </c>
      <c r="Y38" s="93">
        <f t="shared" si="41"/>
        <v>1.68</v>
      </c>
      <c r="Z38" s="94">
        <f t="shared" si="42"/>
        <v>1.0200000000000002</v>
      </c>
      <c r="AA38" s="53">
        <v>2.8266666666666667</v>
      </c>
      <c r="AB38" s="93">
        <f t="shared" si="43"/>
        <v>1.5</v>
      </c>
      <c r="AC38" s="95">
        <f t="shared" si="44"/>
        <v>1.3266666666666667</v>
      </c>
      <c r="AD38" s="56">
        <v>3.3566666666666665</v>
      </c>
      <c r="AE38" s="93">
        <f t="shared" si="45"/>
        <v>1.7999999999999998</v>
      </c>
      <c r="AF38" s="94">
        <f t="shared" si="46"/>
        <v>1.5566666666666666</v>
      </c>
      <c r="AG38" s="53">
        <v>9.4075000000000006</v>
      </c>
      <c r="AH38" s="93">
        <f t="shared" si="47"/>
        <v>1.7999999999999998</v>
      </c>
      <c r="AI38" s="95">
        <f t="shared" si="48"/>
        <v>7.6075000000000008</v>
      </c>
      <c r="AJ38" s="56">
        <v>12.993833333333335</v>
      </c>
      <c r="AK38" s="93">
        <f t="shared" si="49"/>
        <v>1.74</v>
      </c>
      <c r="AL38" s="94">
        <f t="shared" si="50"/>
        <v>11.253833333333334</v>
      </c>
      <c r="AM38" s="53">
        <v>14.566166666666668</v>
      </c>
      <c r="AN38" s="93">
        <f t="shared" si="51"/>
        <v>2.04</v>
      </c>
      <c r="AO38" s="95">
        <f t="shared" si="52"/>
        <v>12.526166666666668</v>
      </c>
      <c r="AP38" s="96">
        <f t="shared" si="23"/>
        <v>107.01605072463769</v>
      </c>
      <c r="AQ38" s="59">
        <f t="shared" si="24"/>
        <v>21.419999999999998</v>
      </c>
      <c r="AR38" s="60">
        <f t="shared" si="25"/>
        <v>85.596050724637692</v>
      </c>
      <c r="AS38" s="97">
        <f t="shared" si="26"/>
        <v>69.118258014080823</v>
      </c>
      <c r="AT38" s="98">
        <f t="shared" si="27"/>
        <v>86.414769641987803</v>
      </c>
    </row>
    <row r="39" spans="1:46" ht="15.75" thickBot="1" x14ac:dyDescent="0.3">
      <c r="A39" s="79"/>
      <c r="B39" s="105" t="s">
        <v>54</v>
      </c>
      <c r="C39" s="106">
        <v>0</v>
      </c>
      <c r="D39" s="107">
        <v>18</v>
      </c>
      <c r="E39" s="108">
        <v>933.1</v>
      </c>
      <c r="F39" s="109">
        <v>12.556521739130435</v>
      </c>
      <c r="G39" s="110">
        <f t="shared" si="29"/>
        <v>0</v>
      </c>
      <c r="H39" s="111">
        <f t="shared" si="30"/>
        <v>12.556521739130435</v>
      </c>
      <c r="I39" s="112">
        <v>10.35</v>
      </c>
      <c r="J39" s="110">
        <f t="shared" si="31"/>
        <v>0</v>
      </c>
      <c r="K39" s="113">
        <f t="shared" si="32"/>
        <v>10.35</v>
      </c>
      <c r="L39" s="109">
        <v>8.61</v>
      </c>
      <c r="M39" s="110">
        <f t="shared" si="33"/>
        <v>0</v>
      </c>
      <c r="N39" s="111">
        <f t="shared" si="34"/>
        <v>8.61</v>
      </c>
      <c r="O39" s="112">
        <v>5.7130434782608699</v>
      </c>
      <c r="P39" s="110">
        <f t="shared" si="35"/>
        <v>0</v>
      </c>
      <c r="Q39" s="113">
        <f t="shared" si="36"/>
        <v>5.7130434782608699</v>
      </c>
      <c r="R39" s="109">
        <v>0</v>
      </c>
      <c r="S39" s="110">
        <f t="shared" si="37"/>
        <v>0</v>
      </c>
      <c r="T39" s="111">
        <f t="shared" si="38"/>
        <v>0</v>
      </c>
      <c r="U39" s="112">
        <v>0</v>
      </c>
      <c r="V39" s="110">
        <f t="shared" si="39"/>
        <v>0</v>
      </c>
      <c r="W39" s="113">
        <f t="shared" si="40"/>
        <v>0</v>
      </c>
      <c r="X39" s="109">
        <v>0</v>
      </c>
      <c r="Y39" s="110">
        <f t="shared" si="41"/>
        <v>0</v>
      </c>
      <c r="Z39" s="111">
        <f t="shared" si="42"/>
        <v>0</v>
      </c>
      <c r="AA39" s="112">
        <v>0</v>
      </c>
      <c r="AB39" s="110">
        <f t="shared" si="43"/>
        <v>0</v>
      </c>
      <c r="AC39" s="113">
        <f t="shared" si="44"/>
        <v>0</v>
      </c>
      <c r="AD39" s="109">
        <v>0</v>
      </c>
      <c r="AE39" s="110">
        <f t="shared" si="45"/>
        <v>0</v>
      </c>
      <c r="AF39" s="111">
        <f t="shared" si="46"/>
        <v>0</v>
      </c>
      <c r="AG39" s="112">
        <v>3.8955000000000002</v>
      </c>
      <c r="AH39" s="110">
        <f t="shared" si="47"/>
        <v>0</v>
      </c>
      <c r="AI39" s="113">
        <f t="shared" si="48"/>
        <v>3.8955000000000002</v>
      </c>
      <c r="AJ39" s="109">
        <v>7.0136666666666665</v>
      </c>
      <c r="AK39" s="110">
        <f t="shared" si="49"/>
        <v>0</v>
      </c>
      <c r="AL39" s="111">
        <f t="shared" si="50"/>
        <v>7.0136666666666665</v>
      </c>
      <c r="AM39" s="112">
        <v>10.123000000000001</v>
      </c>
      <c r="AN39" s="110">
        <f t="shared" si="51"/>
        <v>0</v>
      </c>
      <c r="AO39" s="113">
        <f t="shared" si="52"/>
        <v>10.123000000000001</v>
      </c>
      <c r="AP39" s="114">
        <f t="shared" si="23"/>
        <v>58.261731884057966</v>
      </c>
      <c r="AQ39" s="115">
        <f t="shared" si="24"/>
        <v>0</v>
      </c>
      <c r="AR39" s="116">
        <f t="shared" si="25"/>
        <v>58.261731884057966</v>
      </c>
      <c r="AS39" s="117">
        <f t="shared" si="26"/>
        <v>62.438893884961921</v>
      </c>
      <c r="AT39" s="118">
        <f t="shared" si="27"/>
        <v>62.438893884961921</v>
      </c>
    </row>
    <row r="40" spans="1:46" ht="15" customHeight="1" thickBot="1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17" t="s">
        <v>50</v>
      </c>
      <c r="AS40" s="19">
        <f>AVERAGE(AS22:AS39)</f>
        <v>65.547667531396471</v>
      </c>
      <c r="AT40" s="18">
        <f>AVERAGE(AT22:AT39)</f>
        <v>92.450541456953516</v>
      </c>
    </row>
    <row r="41" spans="1:46" x14ac:dyDescent="0.25">
      <c r="A41" s="79"/>
      <c r="B41" s="79"/>
      <c r="C41" s="143" t="s">
        <v>62</v>
      </c>
      <c r="D41" s="144"/>
      <c r="E41" s="144"/>
      <c r="F41" s="144"/>
      <c r="G41" s="144"/>
      <c r="H41" s="145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</row>
    <row r="42" spans="1:46" x14ac:dyDescent="0.25">
      <c r="C42" s="146" t="s">
        <v>63</v>
      </c>
      <c r="D42" s="147"/>
      <c r="E42" s="147"/>
      <c r="F42" s="147"/>
      <c r="G42" s="147"/>
      <c r="H42" s="148"/>
    </row>
    <row r="51" spans="2:15" hidden="1" x14ac:dyDescent="0.25">
      <c r="C51">
        <v>1</v>
      </c>
      <c r="D51">
        <v>2</v>
      </c>
      <c r="E51">
        <v>3</v>
      </c>
      <c r="F51">
        <v>4</v>
      </c>
      <c r="G51">
        <v>5</v>
      </c>
      <c r="H51">
        <v>6</v>
      </c>
      <c r="I51">
        <v>7</v>
      </c>
      <c r="J51">
        <v>8</v>
      </c>
      <c r="K51">
        <v>9</v>
      </c>
      <c r="L51">
        <v>10</v>
      </c>
      <c r="M51">
        <v>11</v>
      </c>
      <c r="N51">
        <v>12</v>
      </c>
    </row>
    <row r="52" spans="2:15" hidden="1" x14ac:dyDescent="0.25">
      <c r="B52" s="1" t="s">
        <v>0</v>
      </c>
      <c r="C52" s="2">
        <v>136.44</v>
      </c>
      <c r="D52" s="2">
        <v>133.96</v>
      </c>
      <c r="E52" s="2">
        <v>122.51999999999998</v>
      </c>
      <c r="F52" s="2">
        <v>136.18000000000006</v>
      </c>
      <c r="G52" s="2">
        <v>129.66999999999999</v>
      </c>
      <c r="H52" s="3">
        <v>140.71000000000004</v>
      </c>
      <c r="I52" s="2">
        <v>114.14999999999986</v>
      </c>
      <c r="J52" s="2">
        <v>120.15</v>
      </c>
      <c r="K52" s="2">
        <v>129.71</v>
      </c>
      <c r="L52" s="3">
        <v>149.65</v>
      </c>
      <c r="M52" s="2">
        <v>139.16000000000008</v>
      </c>
      <c r="N52" s="2">
        <v>154.45000000000005</v>
      </c>
      <c r="O52" s="4">
        <v>1606.7500000000002</v>
      </c>
    </row>
    <row r="53" spans="2:15" hidden="1" x14ac:dyDescent="0.25">
      <c r="B53" s="6" t="s">
        <v>27</v>
      </c>
      <c r="C53" s="2">
        <v>34</v>
      </c>
      <c r="D53" s="2">
        <v>41</v>
      </c>
      <c r="E53" s="2">
        <v>35</v>
      </c>
      <c r="F53" s="2">
        <v>42</v>
      </c>
      <c r="G53" s="2">
        <v>36.619999999999997</v>
      </c>
      <c r="H53" s="2">
        <v>36.58</v>
      </c>
      <c r="I53" s="2">
        <v>28.709999999999994</v>
      </c>
      <c r="J53" s="2">
        <v>28.21</v>
      </c>
      <c r="K53" s="2">
        <v>29.26</v>
      </c>
      <c r="L53" s="2">
        <v>29.91</v>
      </c>
      <c r="M53" s="2">
        <v>28.330000000000013</v>
      </c>
      <c r="N53" s="2">
        <v>28.039999999999992</v>
      </c>
      <c r="O53" s="4">
        <v>397.65999999999997</v>
      </c>
    </row>
    <row r="54" spans="2:15" hidden="1" x14ac:dyDescent="0.25">
      <c r="B54" s="1" t="s">
        <v>20</v>
      </c>
      <c r="C54" s="2">
        <v>49.44</v>
      </c>
      <c r="D54" s="2">
        <v>44.72</v>
      </c>
      <c r="E54" s="2">
        <v>44.95</v>
      </c>
      <c r="F54" s="2">
        <v>48.05</v>
      </c>
      <c r="G54" s="2">
        <v>45.06</v>
      </c>
      <c r="H54" s="2">
        <v>43.72</v>
      </c>
      <c r="I54" s="2">
        <v>35.22</v>
      </c>
      <c r="J54" s="2">
        <v>35.33</v>
      </c>
      <c r="K54" s="2">
        <v>43.63</v>
      </c>
      <c r="L54" s="2">
        <v>42.06</v>
      </c>
      <c r="M54" s="2">
        <v>41.600000000000023</v>
      </c>
      <c r="N54" s="2">
        <v>46.279999999999973</v>
      </c>
      <c r="O54" s="4">
        <v>520.06000000000006</v>
      </c>
    </row>
    <row r="55" spans="2:15" hidden="1" x14ac:dyDescent="0.25">
      <c r="B55" s="1" t="s">
        <v>21</v>
      </c>
      <c r="C55" s="2">
        <v>114.47</v>
      </c>
      <c r="D55" s="2">
        <v>121.4</v>
      </c>
      <c r="E55" s="2">
        <v>113.37</v>
      </c>
      <c r="F55" s="2">
        <v>127.08000000000004</v>
      </c>
      <c r="G55" s="2">
        <v>116.14</v>
      </c>
      <c r="H55" s="2">
        <v>109.98000000000002</v>
      </c>
      <c r="I55" s="2">
        <v>80.889999999999986</v>
      </c>
      <c r="J55" s="2">
        <v>91.35</v>
      </c>
      <c r="K55" s="2">
        <v>118.04</v>
      </c>
      <c r="L55" s="2">
        <v>131.71</v>
      </c>
      <c r="M55" s="2">
        <v>129.01999999999998</v>
      </c>
      <c r="N55" s="2">
        <v>141.57999999999993</v>
      </c>
      <c r="O55" s="4">
        <v>1395.03</v>
      </c>
    </row>
    <row r="56" spans="2:15" hidden="1" x14ac:dyDescent="0.25"/>
    <row r="57" spans="2:15" hidden="1" x14ac:dyDescent="0.25"/>
    <row r="58" spans="2:15" hidden="1" x14ac:dyDescent="0.25">
      <c r="B58" s="14" t="s">
        <v>30</v>
      </c>
      <c r="C58" s="2">
        <v>53.17</v>
      </c>
      <c r="D58" s="2">
        <v>49.26</v>
      </c>
      <c r="E58" s="2">
        <f>1347.79-1300.08</f>
        <v>47.710000000000036</v>
      </c>
      <c r="F58" s="2">
        <v>46.06</v>
      </c>
      <c r="G58" s="2">
        <v>42.68</v>
      </c>
      <c r="H58" s="2">
        <f>1480.5-1442.94</f>
        <v>37.559999999999945</v>
      </c>
      <c r="I58" s="2">
        <v>38.380000000000003</v>
      </c>
      <c r="J58" s="7">
        <v>37.53</v>
      </c>
      <c r="K58" s="2">
        <v>37.200000000000003</v>
      </c>
      <c r="L58" s="2">
        <v>41.7</v>
      </c>
      <c r="M58" s="2">
        <v>45.35</v>
      </c>
      <c r="N58" s="2">
        <f>1722.81-1680.66</f>
        <v>42.149999999999864</v>
      </c>
      <c r="O58" s="4">
        <f t="shared" ref="O58:O72" si="53">SUM(C58:N58)</f>
        <v>518.74999999999989</v>
      </c>
    </row>
    <row r="59" spans="2:15" hidden="1" x14ac:dyDescent="0.25">
      <c r="B59" s="14" t="s">
        <v>31</v>
      </c>
      <c r="C59" s="2">
        <v>45.91</v>
      </c>
      <c r="D59" s="2">
        <v>44.87</v>
      </c>
      <c r="E59" s="2">
        <f>293.48-251.55</f>
        <v>41.930000000000007</v>
      </c>
      <c r="F59" s="2">
        <f>341.17-293.48</f>
        <v>47.69</v>
      </c>
      <c r="G59" s="2">
        <v>44.33</v>
      </c>
      <c r="H59" s="2">
        <f>433.95-385.5</f>
        <v>48.449999999999989</v>
      </c>
      <c r="I59" s="2">
        <f>475.91-433.95</f>
        <v>41.960000000000036</v>
      </c>
      <c r="J59" s="2">
        <v>41.42</v>
      </c>
      <c r="K59" s="2">
        <v>46.76</v>
      </c>
      <c r="L59" s="2">
        <v>46.05</v>
      </c>
      <c r="M59" s="2">
        <f>654.86-610.14</f>
        <v>44.720000000000027</v>
      </c>
      <c r="N59" s="2">
        <f>702.84-654.86</f>
        <v>47.980000000000018</v>
      </c>
      <c r="O59" s="4">
        <f t="shared" si="53"/>
        <v>542.07000000000016</v>
      </c>
    </row>
    <row r="60" spans="2:15" hidden="1" x14ac:dyDescent="0.25">
      <c r="B60" s="15" t="s">
        <v>32</v>
      </c>
      <c r="C60" s="2">
        <v>51.9</v>
      </c>
      <c r="D60" s="2">
        <v>46.3</v>
      </c>
      <c r="E60" s="2">
        <f>3684.36-3633.3</f>
        <v>51.059999999999945</v>
      </c>
      <c r="F60" s="2">
        <v>48.29</v>
      </c>
      <c r="G60" s="2">
        <v>42.52</v>
      </c>
      <c r="H60" s="2">
        <f>59.95-4.63</f>
        <v>55.32</v>
      </c>
      <c r="I60" s="2">
        <v>49.84</v>
      </c>
      <c r="J60" s="2">
        <v>46.84</v>
      </c>
      <c r="K60" s="2">
        <v>52.83</v>
      </c>
      <c r="L60" s="2">
        <v>57.22</v>
      </c>
      <c r="M60" s="2">
        <f>323.51-266.68</f>
        <v>56.829999999999984</v>
      </c>
      <c r="N60" s="2">
        <f>376.54-323.51</f>
        <v>53.03000000000003</v>
      </c>
      <c r="O60" s="4">
        <f t="shared" si="53"/>
        <v>611.97999999999979</v>
      </c>
    </row>
    <row r="61" spans="2:15" hidden="1" x14ac:dyDescent="0.25">
      <c r="B61" s="5" t="s">
        <v>33</v>
      </c>
      <c r="C61" s="2">
        <v>27.62</v>
      </c>
      <c r="D61" s="2">
        <v>25.01</v>
      </c>
      <c r="E61" s="2">
        <f>57.62-35.92</f>
        <v>21.699999999999996</v>
      </c>
      <c r="F61" s="2">
        <v>26.04</v>
      </c>
      <c r="G61" s="2">
        <v>24.1</v>
      </c>
      <c r="H61" s="2">
        <f>133.42-107.76</f>
        <v>25.659999999999982</v>
      </c>
      <c r="I61" s="2">
        <f>157.91-133.42</f>
        <v>24.490000000000009</v>
      </c>
      <c r="J61" s="2">
        <v>26.09</v>
      </c>
      <c r="K61">
        <f>212.51-184</f>
        <v>28.509999999999991</v>
      </c>
      <c r="L61" s="2">
        <v>28.4</v>
      </c>
      <c r="M61" s="2">
        <f>268.7-240.91</f>
        <v>27.789999999999992</v>
      </c>
      <c r="N61" s="2">
        <f>296.2-268.7</f>
        <v>27.5</v>
      </c>
      <c r="O61" s="4">
        <f t="shared" si="53"/>
        <v>312.90999999999997</v>
      </c>
    </row>
    <row r="62" spans="2:15" hidden="1" x14ac:dyDescent="0.25">
      <c r="B62" s="5" t="s">
        <v>34</v>
      </c>
      <c r="C62" s="2">
        <v>34.409999999999997</v>
      </c>
      <c r="D62" s="2">
        <v>33.520000000000003</v>
      </c>
      <c r="E62" s="2">
        <f>1683.9-1651.79</f>
        <v>32.110000000000127</v>
      </c>
      <c r="F62" s="2">
        <f>1721.28-1683.9</f>
        <v>37.379999999999882</v>
      </c>
      <c r="G62" s="2">
        <v>35.81</v>
      </c>
      <c r="H62" s="2">
        <f>1796.39-1757.09</f>
        <v>39.300000000000182</v>
      </c>
      <c r="I62" s="2">
        <f>1829.35-1796.39</f>
        <v>32.959999999999809</v>
      </c>
      <c r="J62" s="2">
        <v>36.19</v>
      </c>
      <c r="K62" s="2">
        <v>42.23</v>
      </c>
      <c r="L62" s="2">
        <v>43.72</v>
      </c>
      <c r="M62" s="2">
        <f>1991.96-1951.49</f>
        <v>40.470000000000027</v>
      </c>
      <c r="N62" s="2">
        <f>2036.33-1991.96</f>
        <v>44.369999999999891</v>
      </c>
      <c r="O62" s="4">
        <f t="shared" si="53"/>
        <v>452.46999999999991</v>
      </c>
    </row>
    <row r="63" spans="2:15" hidden="1" x14ac:dyDescent="0.25">
      <c r="B63" s="5" t="s">
        <v>35</v>
      </c>
      <c r="C63" s="2">
        <v>66.900000000000006</v>
      </c>
      <c r="D63" s="2">
        <v>64.36</v>
      </c>
      <c r="E63" s="2">
        <f>401.92-332</f>
        <v>69.920000000000016</v>
      </c>
      <c r="F63" s="2">
        <v>66.58</v>
      </c>
      <c r="G63" s="2">
        <v>60.2</v>
      </c>
      <c r="H63" s="2">
        <f>593.88-528.7</f>
        <v>65.17999999999995</v>
      </c>
      <c r="I63" s="2">
        <v>53.66</v>
      </c>
      <c r="J63" s="2">
        <v>56.9</v>
      </c>
      <c r="K63" s="2">
        <v>56.25</v>
      </c>
      <c r="L63" s="8">
        <v>61.44</v>
      </c>
      <c r="M63" s="2">
        <f>888.55-822.13</f>
        <v>66.419999999999959</v>
      </c>
      <c r="N63" s="2">
        <f>952.06-888.55</f>
        <v>63.509999999999991</v>
      </c>
      <c r="O63" s="4">
        <f t="shared" si="53"/>
        <v>751.31999999999982</v>
      </c>
    </row>
    <row r="64" spans="2:15" hidden="1" x14ac:dyDescent="0.25">
      <c r="B64" s="15" t="s">
        <v>36</v>
      </c>
      <c r="C64" s="2">
        <v>38.71</v>
      </c>
      <c r="D64" s="2">
        <v>39.56</v>
      </c>
      <c r="E64" s="2">
        <f>13511.9-13476.4</f>
        <v>35.5</v>
      </c>
      <c r="F64" s="2">
        <f>13554.94-13511.9</f>
        <v>43.040000000000873</v>
      </c>
      <c r="G64" s="2">
        <v>30.62</v>
      </c>
      <c r="H64" s="2">
        <f>51.14-12.64</f>
        <v>38.5</v>
      </c>
      <c r="I64" s="2">
        <f>81.42-51.14</f>
        <v>30.28</v>
      </c>
      <c r="J64" s="2">
        <v>35.270000000000003</v>
      </c>
      <c r="K64" s="2">
        <v>33.69</v>
      </c>
      <c r="L64" s="2">
        <v>38.58</v>
      </c>
      <c r="M64" s="2">
        <f>234.31-188.96</f>
        <v>45.349999999999994</v>
      </c>
      <c r="N64" s="2">
        <f>269.99-234.31</f>
        <v>35.680000000000007</v>
      </c>
      <c r="O64" s="4">
        <f t="shared" si="53"/>
        <v>444.78000000000083</v>
      </c>
    </row>
    <row r="65" spans="2:15" hidden="1" x14ac:dyDescent="0.25">
      <c r="B65" s="5" t="s">
        <v>37</v>
      </c>
      <c r="C65" s="2">
        <v>83.56</v>
      </c>
      <c r="D65" s="2">
        <v>44.6</v>
      </c>
      <c r="E65" s="2">
        <f>507.73-456.21</f>
        <v>51.520000000000039</v>
      </c>
      <c r="F65" s="2">
        <f>552.07-507.73</f>
        <v>44.340000000000032</v>
      </c>
      <c r="G65" s="2">
        <v>44.49</v>
      </c>
      <c r="H65" s="2">
        <f>642.14-596.56</f>
        <v>45.580000000000041</v>
      </c>
      <c r="I65" s="2">
        <f>678.96-642.14</f>
        <v>36.82000000000005</v>
      </c>
      <c r="J65" s="2">
        <v>40.44</v>
      </c>
      <c r="K65" s="2">
        <v>44.89</v>
      </c>
      <c r="L65" s="2">
        <v>40.85</v>
      </c>
      <c r="M65" s="2">
        <f>848.55-805.14</f>
        <v>43.409999999999968</v>
      </c>
      <c r="N65" s="2">
        <f>881.64-848.55</f>
        <v>33.090000000000032</v>
      </c>
      <c r="O65" s="4">
        <f t="shared" si="53"/>
        <v>553.59000000000015</v>
      </c>
    </row>
    <row r="66" spans="2:15" hidden="1" x14ac:dyDescent="0.25">
      <c r="B66" s="15" t="s">
        <v>38</v>
      </c>
      <c r="C66" s="2">
        <v>51</v>
      </c>
      <c r="D66" s="2">
        <v>49.33</v>
      </c>
      <c r="E66" s="2">
        <f>6620.06-6568.07</f>
        <v>51.990000000000691</v>
      </c>
      <c r="F66" s="2">
        <v>52.54</v>
      </c>
      <c r="G66" s="2">
        <v>36.6</v>
      </c>
      <c r="H66" s="2">
        <f>58.94-10.77</f>
        <v>48.17</v>
      </c>
      <c r="I66" s="2">
        <v>46.22</v>
      </c>
      <c r="J66" s="2">
        <v>50.61</v>
      </c>
      <c r="K66" s="8">
        <v>50.2</v>
      </c>
      <c r="L66" s="2">
        <v>55.37</v>
      </c>
      <c r="M66" s="2">
        <f>318.29-261.34</f>
        <v>56.950000000000045</v>
      </c>
      <c r="N66" s="2">
        <f>366.28-318.29</f>
        <v>47.989999999999952</v>
      </c>
      <c r="O66" s="4">
        <f t="shared" si="53"/>
        <v>596.97000000000071</v>
      </c>
    </row>
    <row r="67" spans="2:15" hidden="1" x14ac:dyDescent="0.25">
      <c r="B67" s="5" t="s">
        <v>39</v>
      </c>
      <c r="C67" s="2">
        <v>67.59</v>
      </c>
      <c r="D67" s="2">
        <v>64.03</v>
      </c>
      <c r="E67" s="2">
        <f>625.31-559.62</f>
        <v>65.689999999999941</v>
      </c>
      <c r="F67" s="2">
        <v>70.58</v>
      </c>
      <c r="G67" s="2">
        <v>67.94</v>
      </c>
      <c r="H67" s="2">
        <f>833.91-763.83</f>
        <v>70.079999999999927</v>
      </c>
      <c r="I67" s="2">
        <v>62.08</v>
      </c>
      <c r="J67" s="2">
        <v>58.43</v>
      </c>
      <c r="K67" s="2">
        <v>63.13</v>
      </c>
      <c r="L67" s="2">
        <v>57.42</v>
      </c>
      <c r="M67" s="2">
        <f>1142.84-1074.97</f>
        <v>67.869999999999891</v>
      </c>
      <c r="N67" s="2">
        <f>1207.43-1142.84</f>
        <v>64.590000000000146</v>
      </c>
      <c r="O67" s="4">
        <f t="shared" si="53"/>
        <v>779.42999999999984</v>
      </c>
    </row>
    <row r="68" spans="2:15" hidden="1" x14ac:dyDescent="0.25">
      <c r="B68" s="5" t="s">
        <v>40</v>
      </c>
      <c r="C68" s="2">
        <v>137.33000000000001</v>
      </c>
      <c r="D68" s="2">
        <v>122.14</v>
      </c>
      <c r="E68" s="2">
        <f>32464.66-32358.46</f>
        <v>106.20000000000073</v>
      </c>
      <c r="F68" s="2">
        <f>32565.3-32454.66</f>
        <v>110.63999999999942</v>
      </c>
      <c r="G68" s="2">
        <v>97.91</v>
      </c>
      <c r="H68" s="2">
        <f>219.83-117.94</f>
        <v>101.89000000000001</v>
      </c>
      <c r="I68" s="2">
        <f>295.62-219.83</f>
        <v>75.789999999999992</v>
      </c>
      <c r="J68" s="2">
        <v>95.38</v>
      </c>
      <c r="K68" s="2">
        <v>91</v>
      </c>
      <c r="L68" s="2">
        <v>92.38</v>
      </c>
      <c r="M68" s="8">
        <f>678.44-574.38</f>
        <v>104.06000000000006</v>
      </c>
      <c r="N68" s="2">
        <f>777.3-678.44</f>
        <v>98.8599999999999</v>
      </c>
      <c r="O68" s="4">
        <f t="shared" si="53"/>
        <v>1233.5800000000002</v>
      </c>
    </row>
    <row r="69" spans="2:15" hidden="1" x14ac:dyDescent="0.25">
      <c r="B69" s="15" t="s">
        <v>41</v>
      </c>
      <c r="C69" s="2">
        <v>92.2</v>
      </c>
      <c r="D69" s="2">
        <v>95.88</v>
      </c>
      <c r="E69" s="2">
        <f>36749.75-36660.35</f>
        <v>89.400000000001455</v>
      </c>
      <c r="F69" s="2">
        <f>36846.76-36749.75</f>
        <v>97.010000000002037</v>
      </c>
      <c r="G69" s="2">
        <v>31.24</v>
      </c>
      <c r="H69" s="2">
        <f>36925.17-36878</f>
        <v>47.169999999998254</v>
      </c>
      <c r="I69" s="2">
        <f>36989.71-36925.17</f>
        <v>64.540000000000873</v>
      </c>
      <c r="J69" s="2">
        <v>66.28</v>
      </c>
      <c r="K69" s="2">
        <v>71.28</v>
      </c>
      <c r="L69" s="2">
        <v>70.03</v>
      </c>
      <c r="M69" s="2">
        <f>37275.9-37197.3</f>
        <v>78.599999999998545</v>
      </c>
      <c r="N69" s="2">
        <f>37349.73-37275.9</f>
        <v>73.830000000001746</v>
      </c>
      <c r="O69" s="4">
        <f t="shared" si="53"/>
        <v>877.46000000000276</v>
      </c>
    </row>
    <row r="70" spans="2:15" hidden="1" x14ac:dyDescent="0.25">
      <c r="B70" s="16" t="s">
        <v>42</v>
      </c>
      <c r="C70" s="8">
        <v>36.92</v>
      </c>
      <c r="D70" s="9">
        <v>41.93</v>
      </c>
      <c r="E70" s="9">
        <f>1170.49-1135.48</f>
        <v>35.009999999999991</v>
      </c>
      <c r="F70" s="10">
        <f>45.83</f>
        <v>45.83</v>
      </c>
      <c r="G70" s="10">
        <v>36.47</v>
      </c>
      <c r="H70" s="10">
        <f>86.33-49.24</f>
        <v>37.089999999999996</v>
      </c>
      <c r="I70" s="10">
        <f>120.85-86.33</f>
        <v>34.519999999999996</v>
      </c>
      <c r="J70" s="10">
        <v>38.43</v>
      </c>
      <c r="K70" s="10">
        <v>45.41</v>
      </c>
      <c r="L70" s="10">
        <v>44.57</v>
      </c>
      <c r="M70" s="2">
        <f>292.14-249.26</f>
        <v>42.879999999999995</v>
      </c>
      <c r="N70" s="10">
        <f>335.68-292.14</f>
        <v>43.54000000000002</v>
      </c>
      <c r="O70" s="11">
        <f t="shared" si="53"/>
        <v>482.6</v>
      </c>
    </row>
    <row r="71" spans="2:15" hidden="1" x14ac:dyDescent="0.25">
      <c r="B71" s="15" t="s">
        <v>47</v>
      </c>
      <c r="C71" s="2">
        <v>56.76</v>
      </c>
      <c r="D71" s="2">
        <v>52.2</v>
      </c>
      <c r="E71" s="2">
        <f>13280.59-13227.53</f>
        <v>53.059999999999491</v>
      </c>
      <c r="F71" s="2">
        <f>13350.13-13280.59</f>
        <v>69.539999999999054</v>
      </c>
      <c r="G71" s="2">
        <v>65.31</v>
      </c>
      <c r="H71" s="2">
        <f>13496.1-13415.44</f>
        <v>80.659999999999854</v>
      </c>
      <c r="I71" s="2">
        <f>13559.69-13496.1</f>
        <v>63.590000000000146</v>
      </c>
      <c r="J71" s="7">
        <v>79.09</v>
      </c>
      <c r="K71" s="2">
        <v>74.010000000000005</v>
      </c>
      <c r="L71" s="2">
        <v>73.86</v>
      </c>
      <c r="M71" s="2">
        <f>13859.98-13786.65</f>
        <v>73.329999999999927</v>
      </c>
      <c r="N71" s="2">
        <f>13936.65-13859.98</f>
        <v>76.670000000000073</v>
      </c>
      <c r="O71" s="4">
        <f t="shared" si="53"/>
        <v>818.07999999999856</v>
      </c>
    </row>
    <row r="72" spans="2:15" hidden="1" x14ac:dyDescent="0.25">
      <c r="B72" s="15" t="s">
        <v>48</v>
      </c>
      <c r="C72" s="2">
        <v>75</v>
      </c>
      <c r="D72" s="2">
        <v>69</v>
      </c>
      <c r="E72" s="2">
        <f>5345-5282</f>
        <v>63</v>
      </c>
      <c r="F72" s="2">
        <f>5428-5345</f>
        <v>83</v>
      </c>
      <c r="G72" s="2">
        <v>78</v>
      </c>
      <c r="H72" s="2">
        <f>5585-5506</f>
        <v>79</v>
      </c>
      <c r="I72" s="2">
        <f>5641-5585</f>
        <v>56</v>
      </c>
      <c r="J72" s="2">
        <v>70</v>
      </c>
      <c r="K72" s="2">
        <v>68</v>
      </c>
      <c r="L72" s="2">
        <v>69</v>
      </c>
      <c r="M72" s="2">
        <f>5923-5848</f>
        <v>75</v>
      </c>
      <c r="N72" s="2">
        <f>6001-5923</f>
        <v>78</v>
      </c>
      <c r="O72" s="4">
        <f t="shared" si="53"/>
        <v>863</v>
      </c>
    </row>
    <row r="73" spans="2:15" hidden="1" x14ac:dyDescent="0.25">
      <c r="B73" s="5" t="s">
        <v>45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12">
        <f>SUM(C73:N73)</f>
        <v>0</v>
      </c>
    </row>
    <row r="74" spans="2:15" hidden="1" x14ac:dyDescent="0.25">
      <c r="B74" s="5" t="s">
        <v>46</v>
      </c>
      <c r="C74" s="2">
        <v>27</v>
      </c>
      <c r="D74" s="13">
        <v>25</v>
      </c>
      <c r="E74" s="13">
        <v>30</v>
      </c>
      <c r="F74" s="13">
        <v>32</v>
      </c>
      <c r="G74" s="13">
        <v>36</v>
      </c>
      <c r="H74" s="13">
        <v>31</v>
      </c>
      <c r="I74" s="2">
        <v>28</v>
      </c>
      <c r="J74" s="2">
        <v>25</v>
      </c>
      <c r="K74" s="2">
        <v>30</v>
      </c>
      <c r="L74" s="2">
        <v>30</v>
      </c>
      <c r="M74" s="2">
        <f>373-344</f>
        <v>29</v>
      </c>
      <c r="N74" s="2">
        <f>407-373</f>
        <v>34</v>
      </c>
      <c r="O74" s="12">
        <f>SUM(C74:N74)</f>
        <v>357</v>
      </c>
    </row>
    <row r="75" spans="2:15" hidden="1" x14ac:dyDescent="0.25">
      <c r="B75" s="5" t="s">
        <v>49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12">
        <f>SUM(C75:N75)</f>
        <v>0</v>
      </c>
    </row>
    <row r="76" spans="2:15" hidden="1" x14ac:dyDescent="0.25"/>
    <row r="77" spans="2:15" hidden="1" x14ac:dyDescent="0.25"/>
  </sheetData>
  <mergeCells count="43">
    <mergeCell ref="AG4:AI5"/>
    <mergeCell ref="AJ4:AL5"/>
    <mergeCell ref="C4:D4"/>
    <mergeCell ref="AM4:AO5"/>
    <mergeCell ref="AP4:AR5"/>
    <mergeCell ref="AS4:AS6"/>
    <mergeCell ref="AT4:AT6"/>
    <mergeCell ref="B4:B6"/>
    <mergeCell ref="E4:E6"/>
    <mergeCell ref="F4:H5"/>
    <mergeCell ref="I4:K5"/>
    <mergeCell ref="L4:N5"/>
    <mergeCell ref="O4:Q5"/>
    <mergeCell ref="C5:C6"/>
    <mergeCell ref="D5:D6"/>
    <mergeCell ref="R4:T5"/>
    <mergeCell ref="U4:W5"/>
    <mergeCell ref="X4:Z5"/>
    <mergeCell ref="AA4:AC5"/>
    <mergeCell ref="AP19:AR20"/>
    <mergeCell ref="AS19:AS21"/>
    <mergeCell ref="AT19:AT21"/>
    <mergeCell ref="C20:C21"/>
    <mergeCell ref="D20:D21"/>
    <mergeCell ref="X19:Z20"/>
    <mergeCell ref="AG19:AI20"/>
    <mergeCell ref="AJ19:AL20"/>
    <mergeCell ref="AM19:AO20"/>
    <mergeCell ref="B19:B21"/>
    <mergeCell ref="C19:D19"/>
    <mergeCell ref="E19:E21"/>
    <mergeCell ref="F19:H20"/>
    <mergeCell ref="I19:K20"/>
    <mergeCell ref="L19:N20"/>
    <mergeCell ref="O19:Q20"/>
    <mergeCell ref="R19:T20"/>
    <mergeCell ref="U19:W20"/>
    <mergeCell ref="C3:J3"/>
    <mergeCell ref="C18:J18"/>
    <mergeCell ref="C1:V1"/>
    <mergeCell ref="AA19:AC20"/>
    <mergeCell ref="AD19:AF20"/>
    <mergeCell ref="AD4:AF5"/>
  </mergeCells>
  <pageMargins left="0.70866141732283472" right="0.70866141732283472" top="0.74803149606299213" bottom="0.74803149606299213" header="0.31496062992125984" footer="0.31496062992125984"/>
  <pageSetup scale="81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</vt:lpstr>
      <vt:lpstr>2015</vt:lpstr>
      <vt:lpstr>'2014'!Print_Titles</vt:lpstr>
      <vt:lpstr>'2015'!Print_Titles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Signe</cp:lastModifiedBy>
  <cp:lastPrinted>2018-06-27T08:38:55Z</cp:lastPrinted>
  <dcterms:created xsi:type="dcterms:W3CDTF">2016-03-18T07:00:22Z</dcterms:created>
  <dcterms:modified xsi:type="dcterms:W3CDTF">2018-06-27T08:40:09Z</dcterms:modified>
</cp:coreProperties>
</file>